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مرداد 1403\"/>
    </mc:Choice>
  </mc:AlternateContent>
  <xr:revisionPtr revIDLastSave="0" documentId="13_ncr:1_{CD920971-4628-4120-A668-2A086C1CFEC1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مبالغ تخصیصی اوراق" sheetId="22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externalReferences>
    <externalReference r:id="rId20"/>
    <externalReference r:id="rId21"/>
  </externalReferences>
  <definedNames>
    <definedName name="_xlnm.Print_Area" localSheetId="4">اوراق!$A$1:$AM$27</definedName>
    <definedName name="_xlnm.Print_Area" localSheetId="2">'اوراق مشتقه'!$A$1:$AU$14</definedName>
    <definedName name="_xlnm.Print_Area" localSheetId="5">'تعدیل قیمت'!$A$1:$N$14</definedName>
    <definedName name="_xlnm.Print_Area" localSheetId="7">درآمد!$A$1:$K$13</definedName>
    <definedName name="_xlnm.Print_Area" localSheetId="11">'درآمد سپرده بانکی'!$A$1:$K$17</definedName>
    <definedName name="_xlnm.Print_Area" localSheetId="10">'درآمد سرمایه گذاری در اوراق به'!$A$1:$S$29</definedName>
    <definedName name="_xlnm.Print_Area" localSheetId="8">'درآمد سرمایه گذاری در سهام'!$A$1:$X$21</definedName>
    <definedName name="_xlnm.Print_Area" localSheetId="9">'درآمد سرمایه گذاری در صندوق'!$A$1:$X$13</definedName>
    <definedName name="_xlnm.Print_Area" localSheetId="14">'درآمد سود سهام'!$A$1:$T$15</definedName>
    <definedName name="_xlnm.Print_Area" localSheetId="18">'درآمد ناشی از تغییر قیمت اوراق'!$A$1:$S$40</definedName>
    <definedName name="_xlnm.Print_Area" localSheetId="17">'درآمد ناشی از فروش'!$A$1:$S$18</definedName>
    <definedName name="_xlnm.Print_Area" localSheetId="12">'سایر درآمدها'!$A$1:$G$10</definedName>
    <definedName name="_xlnm.Print_Area" localSheetId="6">سپرده!$A$1:$M$16</definedName>
    <definedName name="_xlnm.Print_Area" localSheetId="1">سهام!$A$1:$AC$20</definedName>
    <definedName name="_xlnm.Print_Area" localSheetId="15">'سود اوراق بهادار'!$A$1:$U$28</definedName>
    <definedName name="_xlnm.Print_Area" localSheetId="16">'سود سپرده بانکی'!$A$1:$N$15</definedName>
    <definedName name="_xlnm.Print_Area" localSheetId="0">'صورت وضعیت'!$B$1:$B$9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7" l="1"/>
  <c r="R28" i="17"/>
  <c r="P28" i="17"/>
  <c r="N28" i="17"/>
  <c r="L28" i="17"/>
  <c r="J28" i="17"/>
  <c r="H14" i="13" l="1"/>
  <c r="D14" i="13"/>
  <c r="P10" i="10" l="1"/>
  <c r="J13" i="8"/>
  <c r="H13" i="8"/>
  <c r="F8" i="8"/>
  <c r="F9" i="8"/>
  <c r="F10" i="8"/>
  <c r="F11" i="8"/>
  <c r="F12" i="8"/>
  <c r="K10" i="15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M14" i="18"/>
  <c r="K14" i="18"/>
  <c r="I14" i="18"/>
  <c r="G14" i="18"/>
  <c r="C14" i="18"/>
  <c r="E8" i="18"/>
  <c r="E14" i="18" s="1"/>
  <c r="G15" i="15"/>
  <c r="E15" i="15"/>
  <c r="E9" i="22"/>
  <c r="E8" i="22"/>
  <c r="A3" i="22"/>
  <c r="A2" i="22"/>
  <c r="A1" i="22"/>
  <c r="F13" i="8" l="1"/>
  <c r="J10" i="13"/>
  <c r="J11" i="13"/>
  <c r="J12" i="13"/>
  <c r="J13" i="13"/>
  <c r="J9" i="13"/>
  <c r="J8" i="13"/>
  <c r="F13" i="13"/>
  <c r="F8" i="13"/>
  <c r="F10" i="13"/>
  <c r="F11" i="13"/>
  <c r="F12" i="13"/>
  <c r="F9" i="13"/>
  <c r="L16" i="7" l="1"/>
  <c r="J16" i="7"/>
  <c r="H16" i="7"/>
  <c r="F16" i="7"/>
  <c r="D16" i="7"/>
</calcChain>
</file>

<file path=xl/sharedStrings.xml><?xml version="1.0" encoding="utf-8"?>
<sst xmlns="http://schemas.openxmlformats.org/spreadsheetml/2006/main" count="991" uniqueCount="244">
  <si>
    <t>صندوق سرمایه‌گذاری تداوم اطمینان تمدن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</si>
  <si>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</si>
  <si>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</si>
  <si>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</si>
  <si>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</si>
  <si>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</si>
  <si>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</si>
  <si>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</si>
  <si>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</si>
  <si>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</si>
  <si>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</si>
  <si>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</si>
  <si>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</si>
  <si>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</si>
  <si>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</si>
  <si>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</si>
  <si>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</si>
  <si>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</si>
  <si>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</si>
  <si>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</si>
  <si>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</si>
  <si>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</si>
  <si>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</si>
  <si>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</si>
  <si>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</si>
  <si>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</si>
  <si>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</si>
  <si>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فولاد  خوزستان</t>
  </si>
  <si>
    <t>ملی‌ صنایع‌ مس‌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</si>
  <si>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</si>
  <si>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</si>
  <si>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</si>
  <si>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</si>
  <si>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</si>
  <si>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</si>
  <si>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</si>
  <si>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</si>
  <si>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فخوز-4178-03/06/21</t>
  </si>
  <si>
    <t>1403/06/21</t>
  </si>
  <si>
    <t>اختیارف ت وخارزم-2103-03/06/10</t>
  </si>
  <si>
    <t>1403/06/10</t>
  </si>
  <si>
    <t>اختیارف ت حکشتی-11013-03/06/24</t>
  </si>
  <si>
    <t>1403/06/24</t>
  </si>
  <si>
    <t>اختیارف ت ونوین-3515-03/06/19</t>
  </si>
  <si>
    <t>1403/06/19</t>
  </si>
  <si>
    <t>اختیارف ت شراز-15442-03/06/18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</si>
  <si>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</si>
  <si>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</si>
  <si>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</si>
  <si>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</si>
  <si>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</si>
  <si>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</si>
  <si>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</si>
  <si>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</si>
  <si>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</si>
  <si>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</si>
  <si>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</si>
  <si>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</si>
  <si>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</si>
  <si>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ثروت ساز دیبا-سهام</t>
  </si>
  <si>
    <t>صندوق س.آرمان آتیه درخشان مس-س</t>
  </si>
  <si>
    <t>صندوق س.پشتوانه طلا تابان تمدن</t>
  </si>
  <si>
    <t>صندوق س.سهامی سپینود-س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</si>
  <si>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</si>
  <si>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</si>
  <si>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</si>
  <si>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</si>
  <si>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</si>
  <si>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</si>
  <si>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</si>
  <si>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</si>
  <si>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</si>
  <si>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خزانه-م10بودجه00-031115</t>
  </si>
  <si>
    <t>بله</t>
  </si>
  <si>
    <t>1400/06/07</t>
  </si>
  <si>
    <t>1403/11/15</t>
  </si>
  <si>
    <t>اسناد خزانه-م1بودجه01-040326</t>
  </si>
  <si>
    <t>1401/02/26</t>
  </si>
  <si>
    <t>1404/03/26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</si>
  <si>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</si>
  <si>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</si>
  <si>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</si>
  <si>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</si>
  <si>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</si>
  <si>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</si>
  <si>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اسنادخزانه-م4بودجه00-030522</t>
  </si>
  <si>
    <t>1400/03/11</t>
  </si>
  <si>
    <t>1403/05/22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</si>
  <si>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</si>
  <si>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</si>
  <si>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</si>
  <si>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</si>
  <si>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</si>
  <si>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</si>
  <si>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</si>
  <si>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</si>
  <si>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</si>
  <si>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</si>
  <si>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</si>
  <si>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</si>
  <si>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</si>
  <si>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</si>
  <si>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</si>
  <si>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</si>
  <si>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</si>
  <si>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</si>
  <si>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</si>
  <si>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</si>
  <si>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</si>
  <si>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</si>
  <si>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1402/05/10</t>
  </si>
  <si>
    <t>1404/04/07</t>
  </si>
  <si>
    <t>مرابحه گلرنگ فرش بیدگل060224</t>
  </si>
  <si>
    <t>1403/02/24</t>
  </si>
  <si>
    <t>1406/02/24</t>
  </si>
  <si>
    <t>مرابحه کرمان موتور14030614</t>
  </si>
  <si>
    <t>1400/06/14</t>
  </si>
  <si>
    <t>1403/06/14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</si>
  <si>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</si>
  <si>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</si>
  <si>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</si>
  <si>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</si>
  <si>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</si>
  <si>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</si>
  <si>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</si>
  <si>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</si>
  <si>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</si>
  <si>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</si>
  <si>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</si>
  <si>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</si>
  <si>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</si>
  <si>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</si>
  <si>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1.85%</t>
  </si>
  <si>
    <t>سایر</t>
  </si>
  <si>
    <t>0.38%</t>
  </si>
  <si>
    <t>2.77%</t>
  </si>
  <si>
    <t>2.98%</t>
  </si>
  <si>
    <t>-7.33%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</si>
  <si>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</si>
  <si>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</si>
  <si>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</si>
  <si>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</si>
  <si>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</si>
  <si>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</si>
  <si>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</si>
  <si>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</si>
  <si>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</si>
  <si>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</si>
  <si>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</si>
  <si>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</si>
  <si>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</si>
  <si>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</si>
  <si>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</si>
  <si>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</si>
  <si>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</si>
  <si>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</si>
  <si>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</si>
  <si>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</si>
  <si>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</si>
  <si>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</si>
  <si>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</si>
  <si>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</si>
  <si>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</si>
  <si>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</si>
  <si>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</si>
  <si>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</si>
  <si>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</si>
  <si>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</si>
  <si>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فرآوری معدنی اپال کانی پارس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</si>
  <si>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</si>
  <si>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</si>
  <si>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</si>
  <si>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</si>
  <si>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</si>
  <si>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</si>
  <si>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</si>
  <si>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گهردانه شرق 060715</t>
  </si>
  <si>
    <t>مرابحه عام دولت96-ش.خ030414</t>
  </si>
  <si>
    <t>مبالغ تخصیص یافته بابت خرید و نگهداری اوراق بهادار با درآمد ثابت (نرخ سود ترجیحی)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</si>
  <si>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</si>
  <si>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</si>
  <si>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</si>
  <si>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</si>
  <si>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</si>
  <si>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</si>
  <si>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</si>
  <si>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</si>
  <si>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</si>
  <si>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</si>
  <si>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</si>
  <si>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</si>
  <si>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</si>
  <si>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</si>
  <si>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</si>
  <si>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</si>
  <si>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</si>
  <si>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</si>
  <si>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</si>
  <si>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1403/01/28</t>
  </si>
  <si>
    <t>1403/04/30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</si>
  <si>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</si>
  <si>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</si>
  <si>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</si>
  <si>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</si>
  <si>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</si>
  <si>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</si>
  <si>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1406/07/15</t>
  </si>
  <si>
    <t>1403/04/14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</si>
  <si>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</si>
  <si>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</si>
  <si>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</si>
  <si>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</si>
  <si>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</si>
  <si>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</si>
  <si>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</si>
  <si>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</t>
  </si>
  <si>
    <t>سپرده</t>
  </si>
  <si>
    <t>بانک تجارت</t>
  </si>
  <si>
    <t>بانک توسعه صادرات ایران</t>
  </si>
  <si>
    <t>بانک خاورمیانه</t>
  </si>
  <si>
    <t>بانک پاسارگاد</t>
  </si>
  <si>
    <t>بانک صادرات</t>
  </si>
  <si>
    <t>بانک ملت</t>
  </si>
  <si>
    <t xml:space="preserve"> بانک تجارت </t>
  </si>
  <si>
    <t xml:space="preserve"> بانک خاورمیانه  </t>
  </si>
  <si>
    <t xml:space="preserve"> بانک پاسارگاد</t>
  </si>
  <si>
    <t xml:space="preserve"> بانک صادرات </t>
  </si>
  <si>
    <t xml:space="preserve"> بانک ملت </t>
  </si>
  <si>
    <t xml:space="preserve"> موسسه اعتباری ملل</t>
  </si>
  <si>
    <t xml:space="preserve"> بانک پاسارگاد </t>
  </si>
  <si>
    <t xml:space="preserve">بانک صادرات </t>
  </si>
  <si>
    <t xml:space="preserve">موسسه اعتباری ملل </t>
  </si>
  <si>
    <t>تنزیل سود سهام</t>
  </si>
  <si>
    <t>نزیل سود بانک</t>
  </si>
  <si>
    <t>بهای تمام شده اوراق (ریال)</t>
  </si>
  <si>
    <t>مبلغ شناسایی شده بابت قرارداد خرید و نگهداری اوراق بهادار (ریال)</t>
  </si>
  <si>
    <t xml:space="preserve">نرخ اسمی </t>
  </si>
  <si>
    <t>تامین سرمایه تمدن</t>
  </si>
  <si>
    <t xml:space="preserve"> بانک خاورمیانه </t>
  </si>
  <si>
    <t xml:space="preserve"> موسسه اعتباری ملل </t>
  </si>
  <si>
    <t>22/5</t>
  </si>
  <si>
    <t>5</t>
  </si>
  <si>
    <t>بدون تاریخ سررسید</t>
  </si>
  <si>
    <t>مختلف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</si>
</sst>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-_ر_ي_ا_ل_ ;_ * #,##0.00\-_ر_ي_ا_ل_ ;_ * &quot;-&quot;??_-_ر_ي_ا_ل_ ;_ @_ "/>
    <numFmt numFmtId="165" formatCode="#,###;\(#,###\);\-"/>
    <numFmt numFmtId="166" formatCode="0\.00%;\(0\.00%\);\-"/>
    <numFmt numFmtId="167" formatCode="0.\.00;\(0.\.00\);\-"/>
    <numFmt numFmtId="168" formatCode="#,##0_);\(#,##0\);\-"/>
    <numFmt numFmtId="169" formatCode="0.0%"/>
    <numFmt numFmtId="170" formatCode="#,##0_-;[Black]\(#,##0\)"/>
  </numFmts>
  <fonts count="27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b/>
      <sz val="12"/>
      <color rgb="FF000000"/>
      <name val="B Zar"/>
      <charset val="178"/>
    </font>
    <font>
      <b/>
      <sz val="12"/>
      <name val="B Zar"/>
      <charset val="178"/>
    </font>
    <font>
      <sz val="12"/>
      <color rgb="FF000000"/>
      <name val="B Zar"/>
      <charset val="178"/>
    </font>
    <font>
      <b/>
      <sz val="11"/>
      <color rgb="FF000000"/>
      <name val="B Zar"/>
      <charset val="178"/>
    </font>
    <font>
      <sz val="11"/>
      <color theme="1"/>
      <name val="B Titr"/>
      <charset val="178"/>
    </font>
    <font>
      <b/>
      <sz val="11"/>
      <color rgb="FF000000"/>
      <name val="B Nazanin"/>
      <charset val="178"/>
    </font>
    <font>
      <b/>
      <sz val="11"/>
      <name val="B Titr"/>
      <charset val="178"/>
    </font>
    <font>
      <sz val="11"/>
      <color rgb="FF000000"/>
      <name val="B Nazanin"/>
      <charset val="178"/>
    </font>
    <font>
      <sz val="11"/>
      <name val="B Titr"/>
      <charset val="178"/>
    </font>
    <font>
      <sz val="11"/>
      <name val="B Nazanin"/>
      <charset val="178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b/>
      <sz val="12"/>
      <name val="B Titr"/>
      <charset val="178"/>
    </font>
    <font>
      <b/>
      <sz val="12"/>
      <color rgb="FF000000"/>
      <name val="Arial"/>
      <family val="2"/>
    </font>
    <font>
      <b/>
      <sz val="11"/>
      <name val="B Nazanin"/>
      <charset val="178"/>
    </font>
    <font>
      <sz val="10"/>
      <name val="Arial"/>
      <family val="2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</cellStyleXfs>
  <cellXfs count="206"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64" fontId="8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2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Alignment="1">
      <alignment horizontal="center" vertical="top"/>
    </xf>
    <xf numFmtId="3" fontId="10" fillId="0" borderId="4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Alignment="1">
      <alignment horizontal="center" vertical="top"/>
    </xf>
    <xf numFmtId="4" fontId="10" fillId="0" borderId="4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0" fillId="0" borderId="0" xfId="0" applyBorder="1" applyAlignment="1">
      <alignment horizont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4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165" fontId="15" fillId="0" borderId="0" xfId="0" applyNumberFormat="1" applyFont="1" applyFill="1" applyAlignment="1">
      <alignment horizontal="center" vertical="top"/>
    </xf>
    <xf numFmtId="0" fontId="15" fillId="0" borderId="0" xfId="0" applyNumberFormat="1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center" vertical="top"/>
    </xf>
    <xf numFmtId="3" fontId="13" fillId="0" borderId="5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4" fontId="15" fillId="0" borderId="0" xfId="0" applyNumberFormat="1" applyFont="1" applyFill="1" applyAlignment="1">
      <alignment horizontal="center" vertical="top"/>
    </xf>
    <xf numFmtId="4" fontId="15" fillId="0" borderId="2" xfId="0" applyNumberFormat="1" applyFont="1" applyFill="1" applyBorder="1" applyAlignment="1">
      <alignment horizontal="center" vertical="top"/>
    </xf>
    <xf numFmtId="4" fontId="15" fillId="0" borderId="0" xfId="0" applyNumberFormat="1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center" vertical="top"/>
    </xf>
    <xf numFmtId="3" fontId="13" fillId="0" borderId="0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15" fillId="0" borderId="0" xfId="0" applyNumberFormat="1" applyFont="1" applyFill="1" applyAlignment="1">
      <alignment horizontal="center" vertical="top"/>
    </xf>
    <xf numFmtId="166" fontId="1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0" fillId="0" borderId="8" xfId="0" applyBorder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 applyBorder="1" applyAlignment="1">
      <alignment horizontal="left"/>
    </xf>
    <xf numFmtId="3" fontId="15" fillId="2" borderId="2" xfId="0" applyNumberFormat="1" applyFont="1" applyFill="1" applyBorder="1" applyAlignment="1">
      <alignment horizontal="center" vertical="top"/>
    </xf>
    <xf numFmtId="3" fontId="15" fillId="2" borderId="0" xfId="0" applyNumberFormat="1" applyFont="1" applyFill="1" applyAlignment="1">
      <alignment horizontal="center" vertical="top"/>
    </xf>
    <xf numFmtId="3" fontId="15" fillId="2" borderId="0" xfId="0" applyNumberFormat="1" applyFont="1" applyFill="1" applyBorder="1" applyAlignment="1">
      <alignment horizontal="center" vertical="top"/>
    </xf>
    <xf numFmtId="0" fontId="5" fillId="2" borderId="0" xfId="0" applyNumberFormat="1" applyFont="1" applyFill="1" applyBorder="1" applyAlignment="1">
      <alignment horizontal="center" vertical="top"/>
    </xf>
    <xf numFmtId="4" fontId="5" fillId="2" borderId="0" xfId="0" applyNumberFormat="1" applyFont="1" applyFill="1" applyBorder="1" applyAlignment="1">
      <alignment horizontal="center" vertical="top"/>
    </xf>
    <xf numFmtId="3" fontId="13" fillId="2" borderId="6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top"/>
    </xf>
    <xf numFmtId="167" fontId="15" fillId="0" borderId="0" xfId="0" applyNumberFormat="1" applyFont="1" applyFill="1" applyAlignment="1">
      <alignment horizontal="center" vertical="top"/>
    </xf>
    <xf numFmtId="165" fontId="13" fillId="0" borderId="6" xfId="0" applyNumberFormat="1" applyFont="1" applyFill="1" applyBorder="1" applyAlignment="1">
      <alignment horizontal="center" vertical="top"/>
    </xf>
    <xf numFmtId="165" fontId="15" fillId="0" borderId="2" xfId="0" applyNumberFormat="1" applyFont="1" applyFill="1" applyBorder="1" applyAlignment="1">
      <alignment horizontal="center" vertical="top"/>
    </xf>
    <xf numFmtId="0" fontId="15" fillId="0" borderId="2" xfId="0" applyNumberFormat="1" applyFont="1" applyFill="1" applyBorder="1" applyAlignment="1">
      <alignment horizontal="center" vertical="top"/>
    </xf>
    <xf numFmtId="165" fontId="13" fillId="0" borderId="5" xfId="0" applyNumberFormat="1" applyFont="1" applyFill="1" applyBorder="1" applyAlignment="1">
      <alignment horizontal="center" vertical="top"/>
    </xf>
    <xf numFmtId="3" fontId="4" fillId="0" borderId="9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/>
    </xf>
    <xf numFmtId="165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center"/>
    </xf>
    <xf numFmtId="0" fontId="19" fillId="0" borderId="0" xfId="4" applyAlignment="1">
      <alignment horizontal="left"/>
    </xf>
    <xf numFmtId="165" fontId="18" fillId="0" borderId="10" xfId="3" applyNumberFormat="1" applyFont="1" applyFill="1" applyBorder="1" applyAlignment="1">
      <alignment horizontal="center" vertical="center" wrapText="1" readingOrder="2"/>
    </xf>
    <xf numFmtId="165" fontId="18" fillId="0" borderId="11" xfId="3" applyNumberFormat="1" applyFont="1" applyFill="1" applyBorder="1" applyAlignment="1">
      <alignment horizontal="center" vertical="center" wrapText="1" readingOrder="2"/>
    </xf>
    <xf numFmtId="165" fontId="18" fillId="0" borderId="12" xfId="3" applyNumberFormat="1" applyFont="1" applyFill="1" applyBorder="1" applyAlignment="1">
      <alignment horizontal="center" vertical="center" wrapText="1" readingOrder="2"/>
    </xf>
    <xf numFmtId="165" fontId="21" fillId="0" borderId="13" xfId="3" applyNumberFormat="1" applyFont="1" applyFill="1" applyBorder="1" applyAlignment="1">
      <alignment horizontal="center" vertical="center" wrapText="1" readingOrder="2"/>
    </xf>
    <xf numFmtId="165" fontId="21" fillId="0" borderId="14" xfId="3" applyNumberFormat="1" applyFont="1" applyFill="1" applyBorder="1" applyAlignment="1">
      <alignment horizontal="center" vertical="center" wrapText="1" readingOrder="2"/>
    </xf>
    <xf numFmtId="9" fontId="21" fillId="0" borderId="14" xfId="5" applyNumberFormat="1" applyFont="1" applyFill="1" applyBorder="1" applyAlignment="1">
      <alignment horizontal="center" vertical="center" wrapText="1" readingOrder="2"/>
    </xf>
    <xf numFmtId="165" fontId="18" fillId="0" borderId="15" xfId="3" applyNumberFormat="1" applyFont="1" applyFill="1" applyBorder="1" applyAlignment="1">
      <alignment horizontal="center" vertical="center" wrapText="1" readingOrder="2"/>
    </xf>
    <xf numFmtId="169" fontId="21" fillId="0" borderId="15" xfId="5" applyNumberFormat="1" applyFont="1" applyFill="1" applyBorder="1" applyAlignment="1">
      <alignment horizontal="center" vertical="center" wrapText="1" readingOrder="2"/>
    </xf>
    <xf numFmtId="0" fontId="13" fillId="0" borderId="16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170" fontId="17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top"/>
    </xf>
    <xf numFmtId="3" fontId="13" fillId="0" borderId="5" xfId="0" applyNumberFormat="1" applyFont="1" applyFill="1" applyBorder="1" applyAlignment="1">
      <alignment horizontal="right" vertical="top"/>
    </xf>
    <xf numFmtId="0" fontId="23" fillId="0" borderId="0" xfId="0" applyFont="1" applyAlignment="1">
      <alignment horizontal="left"/>
    </xf>
    <xf numFmtId="170" fontId="17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165" fontId="13" fillId="0" borderId="6" xfId="0" applyNumberFormat="1" applyFont="1" applyBorder="1" applyAlignment="1">
      <alignment horizontal="left"/>
    </xf>
    <xf numFmtId="49" fontId="4" fillId="0" borderId="6" xfId="0" applyNumberFormat="1" applyFont="1" applyFill="1" applyBorder="1" applyAlignment="1">
      <alignment horizontal="center" vertical="top"/>
    </xf>
    <xf numFmtId="10" fontId="0" fillId="0" borderId="0" xfId="0" applyNumberFormat="1" applyAlignment="1">
      <alignment horizontal="left"/>
    </xf>
    <xf numFmtId="167" fontId="13" fillId="0" borderId="8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0" fontId="25" fillId="2" borderId="0" xfId="0" applyFont="1" applyFill="1" applyAlignment="1">
      <alignment horizontal="left"/>
    </xf>
    <xf numFmtId="3" fontId="17" fillId="2" borderId="2" xfId="0" applyNumberFormat="1" applyFont="1" applyFill="1" applyBorder="1" applyAlignment="1">
      <alignment horizontal="center" vertical="top"/>
    </xf>
    <xf numFmtId="4" fontId="26" fillId="2" borderId="0" xfId="0" applyNumberFormat="1" applyFont="1" applyFill="1" applyAlignment="1">
      <alignment horizontal="center" vertical="top"/>
    </xf>
    <xf numFmtId="3" fontId="26" fillId="2" borderId="0" xfId="0" applyNumberFormat="1" applyFont="1" applyFill="1" applyAlignment="1">
      <alignment horizontal="center" vertical="top"/>
    </xf>
    <xf numFmtId="4" fontId="26" fillId="2" borderId="2" xfId="0" applyNumberFormat="1" applyFont="1" applyFill="1" applyBorder="1" applyAlignment="1">
      <alignment horizontal="center" vertical="top"/>
    </xf>
    <xf numFmtId="3" fontId="17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top"/>
    </xf>
    <xf numFmtId="3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2" xfId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center" vertical="center" wrapText="1"/>
    </xf>
    <xf numFmtId="164" fontId="11" fillId="0" borderId="4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2" applyFont="1" applyAlignment="1">
      <alignment horizontal="right" vertical="center" readingOrder="2"/>
    </xf>
    <xf numFmtId="3" fontId="5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16" fillId="0" borderId="0" xfId="1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top"/>
    </xf>
    <xf numFmtId="0" fontId="13" fillId="2" borderId="0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center" vertical="top"/>
    </xf>
    <xf numFmtId="165" fontId="15" fillId="0" borderId="2" xfId="0" applyNumberFormat="1" applyFont="1" applyFill="1" applyBorder="1" applyAlignment="1">
      <alignment horizontal="center" vertical="top"/>
    </xf>
    <xf numFmtId="0" fontId="24" fillId="2" borderId="0" xfId="0" applyFont="1" applyFill="1" applyAlignment="1">
      <alignment horizontal="right" vertical="top"/>
    </xf>
    <xf numFmtId="165" fontId="18" fillId="0" borderId="0" xfId="3" applyNumberFormat="1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right" vertical="center" readingOrder="2"/>
    </xf>
    <xf numFmtId="0" fontId="22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top"/>
    </xf>
    <xf numFmtId="0" fontId="13" fillId="0" borderId="3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top"/>
    </xf>
  </cellXfs>
  <cellStyles count="6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1465263/Desktop/&#1711;&#1586;&#1575;&#1585;&#1588;%20&#1662;&#1585;&#1578;&#1601;&#1608;%20&#1582;&#1585;&#1583;&#1575;&#1583;1403/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ghataghi/AppData/Local/Microsoft/Windows/INetCache/Content.Outlook/SHQWVPIX/&#1711;&#1586;&#1575;&#1585;&#1588;%20&#1662;&#1608;&#1585;&#1578;&#1601;&#1608;&#1740;%20&#1578;&#1583;&#1575;&#1608;&#1605;%20&#1575;&#1591;&#1605;&#1740;&#1606;&#1575;&#1606;%20&#1578;&#1605;&#1583;&#1606;%20140304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درآمد سپرده بانکی"/>
      <sheetName val="سایر درآمدها"/>
      <sheetName val="مبالغ تخصیصی اوراق"/>
      <sheetName val="درآمد سود سهام"/>
      <sheetName val="سود اوراق بهادار"/>
      <sheetName val="سود سپرده بانکی"/>
      <sheetName val="درآمد ناشی از فروش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برای ماه منتهی به 1403/04/31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B8"/>
  <sheetViews>
    <sheetView rightToLeft="1" tabSelected="1" view="pageBreakPreview" topLeftCell="B1" zoomScale="124" zoomScaleNormal="100" zoomScaleSheetLayoutView="124" workbookViewId="0">
      <selection activeCell="B17" sqref="B17"/>
    </sheetView>
  </sheetViews>
  <sheetFormatPr defaultRowHeight="27" customHeight="1" x14ac:dyDescent="0.2"/>
  <cols>
    <col min="1" max="1" width="1.42578125" hidden="1" customWidth="1"/>
    <col min="2" max="2" width="57.140625" customWidth="1"/>
  </cols>
  <sheetData>
    <row r="1" spans="2:2" ht="19.5" customHeight="1" x14ac:dyDescent="0.2"/>
    <row r="2" spans="2:2" ht="21" customHeight="1" x14ac:dyDescent="0.2"/>
    <row r="3" spans="2:2" ht="17.25" customHeight="1" x14ac:dyDescent="0.2"/>
    <row r="4" spans="2:2" ht="27" customHeight="1" x14ac:dyDescent="0.2">
      <c r="B4" s="6" t="s">
        <v>0</v>
      </c>
    </row>
    <row r="5" spans="2:2" ht="27" customHeight="1" x14ac:dyDescent="0.2">
      <c r="B5" s="6" t="s">
        <v>1</v>
      </c>
    </row>
    <row r="6" spans="2:2" ht="27" customHeight="1" x14ac:dyDescent="0.2">
      <c r="B6" s="6" t="s">
        <v>2</v>
      </c>
    </row>
    <row r="7" spans="2:2" ht="21" customHeight="1" x14ac:dyDescent="0.2"/>
    <row r="8" spans="2:2" ht="15.75" customHeight="1" x14ac:dyDescent="0.2"/>
  </sheetData>
  <sheetProtection algorithmName="SHA-512" hashValue="zSljt7o6oX6PQisYL8CXCthtbzexAFT4UHkJ8Spnp1Kd58XV0Io7piev4LiS5XSKQ8GHZswBZn7Qje0cT0iDkg==" saltValue="GmgvEzEND+e9q8kyZ3TBbA==" spinCount="100000" sheet="1" objects="1" scenarios="1" selectLockedCells="1" autoFilter="0" selectUnlockedCells="1"/>
  <pageMargins left="0.39" right="0.39" top="0.39" bottom="0.39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W13"/>
  <sheetViews>
    <sheetView rightToLeft="1" view="pageBreakPreview" zoomScale="98" zoomScaleNormal="100" zoomScaleSheetLayoutView="98" workbookViewId="0">
      <selection activeCell="H20" sqref="H20:H21"/>
    </sheetView>
  </sheetViews>
  <sheetFormatPr defaultRowHeight="12.75" x14ac:dyDescent="0.2"/>
  <cols>
    <col min="1" max="1" width="5.140625" customWidth="1"/>
    <col min="2" max="2" width="26" customWidth="1"/>
    <col min="3" max="3" width="1.28515625" customWidth="1"/>
    <col min="4" max="4" width="16.28515625" bestFit="1" customWidth="1"/>
    <col min="5" max="5" width="1.140625" customWidth="1"/>
    <col min="6" max="6" width="14.28515625" customWidth="1"/>
    <col min="7" max="7" width="1.28515625" customWidth="1"/>
    <col min="8" max="8" width="13.7109375" bestFit="1" customWidth="1"/>
    <col min="9" max="9" width="1.28515625" customWidth="1"/>
    <col min="10" max="10" width="14.28515625" bestFit="1" customWidth="1"/>
    <col min="11" max="11" width="1.28515625" customWidth="1"/>
    <col min="12" max="12" width="13.28515625" customWidth="1"/>
    <col min="13" max="13" width="1.28515625" customWidth="1"/>
    <col min="14" max="14" width="15.28515625" customWidth="1"/>
    <col min="15" max="15" width="1.28515625" customWidth="1"/>
    <col min="16" max="16" width="1.28515625" hidden="1" customWidth="1"/>
    <col min="17" max="17" width="15.28515625" customWidth="1"/>
    <col min="18" max="18" width="1.28515625" customWidth="1"/>
    <col min="19" max="19" width="14.85546875" bestFit="1" customWidth="1"/>
    <col min="20" max="20" width="1.28515625" customWidth="1"/>
    <col min="21" max="21" width="15.42578125" bestFit="1" customWidth="1"/>
    <col min="22" max="22" width="1.28515625" customWidth="1"/>
    <col min="23" max="23" width="11.28515625" customWidth="1"/>
    <col min="24" max="24" width="0.28515625" customWidth="1"/>
  </cols>
  <sheetData>
    <row r="1" spans="1:23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</row>
    <row r="2" spans="1:23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spans="1:23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1:23" ht="14.45" customHeight="1" x14ac:dyDescent="0.2"/>
    <row r="5" spans="1:23" ht="19.5" customHeight="1" x14ac:dyDescent="0.2">
      <c r="A5" s="29" t="s">
        <v>169</v>
      </c>
      <c r="B5" s="195" t="s">
        <v>170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</row>
    <row r="6" spans="1:23" ht="14.45" customHeight="1" x14ac:dyDescent="0.2">
      <c r="D6" s="187" t="s">
        <v>162</v>
      </c>
      <c r="E6" s="187"/>
      <c r="F6" s="187"/>
      <c r="G6" s="187"/>
      <c r="H6" s="187"/>
      <c r="I6" s="187"/>
      <c r="J6" s="187"/>
      <c r="K6" s="187"/>
      <c r="L6" s="187"/>
      <c r="N6" s="187" t="s">
        <v>163</v>
      </c>
      <c r="O6" s="187"/>
      <c r="P6" s="187"/>
      <c r="Q6" s="187"/>
      <c r="R6" s="187"/>
      <c r="S6" s="187"/>
      <c r="T6" s="187"/>
      <c r="U6" s="187"/>
      <c r="V6" s="187"/>
      <c r="W6" s="187"/>
    </row>
    <row r="7" spans="1:23" ht="14.45" customHeight="1" x14ac:dyDescent="0.2">
      <c r="A7" s="147" t="s">
        <v>56</v>
      </c>
      <c r="B7" s="147"/>
      <c r="D7" s="170" t="s">
        <v>171</v>
      </c>
      <c r="E7" s="2"/>
      <c r="F7" s="170" t="s">
        <v>166</v>
      </c>
      <c r="G7" s="2"/>
      <c r="H7" s="170" t="s">
        <v>167</v>
      </c>
      <c r="I7" s="2"/>
      <c r="J7" s="176" t="s">
        <v>30</v>
      </c>
      <c r="K7" s="176"/>
      <c r="L7" s="176"/>
      <c r="N7" s="2"/>
      <c r="O7" s="2"/>
      <c r="P7" s="2"/>
      <c r="Q7" s="2"/>
      <c r="R7" s="2"/>
      <c r="S7" s="170" t="s">
        <v>167</v>
      </c>
      <c r="T7" s="2"/>
      <c r="U7" s="176" t="s">
        <v>30</v>
      </c>
      <c r="V7" s="176"/>
      <c r="W7" s="176"/>
    </row>
    <row r="8" spans="1:23" ht="41.25" customHeight="1" x14ac:dyDescent="0.2">
      <c r="A8" s="148"/>
      <c r="B8" s="148"/>
      <c r="D8" s="148"/>
      <c r="F8" s="148"/>
      <c r="H8" s="148"/>
      <c r="J8" s="3" t="s">
        <v>140</v>
      </c>
      <c r="K8" s="2"/>
      <c r="L8" s="5" t="s">
        <v>148</v>
      </c>
      <c r="N8" s="1" t="s">
        <v>171</v>
      </c>
      <c r="P8" s="148" t="s">
        <v>166</v>
      </c>
      <c r="Q8" s="148"/>
      <c r="S8" s="148"/>
      <c r="U8" s="3" t="s">
        <v>140</v>
      </c>
      <c r="V8" s="2"/>
      <c r="W8" s="5" t="s">
        <v>148</v>
      </c>
    </row>
    <row r="9" spans="1:23" ht="21.75" customHeight="1" x14ac:dyDescent="0.2">
      <c r="A9" s="166" t="s">
        <v>60</v>
      </c>
      <c r="B9" s="166"/>
      <c r="D9" s="16" t="s">
        <v>215</v>
      </c>
      <c r="F9" s="35">
        <v>-1087848921</v>
      </c>
      <c r="H9" s="35">
        <v>1623142254</v>
      </c>
      <c r="J9" s="78">
        <v>535293333</v>
      </c>
      <c r="L9" s="45">
        <v>0.14000000000000001</v>
      </c>
      <c r="N9" s="16" t="s">
        <v>215</v>
      </c>
      <c r="P9" s="198">
        <v>515808111</v>
      </c>
      <c r="Q9" s="198"/>
      <c r="S9" s="31">
        <v>3318586992</v>
      </c>
      <c r="U9" s="31">
        <v>3834395103</v>
      </c>
      <c r="W9" s="79">
        <v>0.2</v>
      </c>
    </row>
    <row r="10" spans="1:23" ht="21.75" customHeight="1" x14ac:dyDescent="0.2">
      <c r="A10" s="163" t="s">
        <v>59</v>
      </c>
      <c r="B10" s="163"/>
      <c r="D10" s="17" t="s">
        <v>215</v>
      </c>
      <c r="F10" s="35">
        <v>-199762500</v>
      </c>
      <c r="H10" s="35">
        <v>0</v>
      </c>
      <c r="J10" s="35">
        <v>-199762500</v>
      </c>
      <c r="L10" s="76">
        <v>-0.05</v>
      </c>
      <c r="N10" s="17" t="s">
        <v>215</v>
      </c>
      <c r="P10" s="197">
        <f>-246712500</f>
        <v>-246712500</v>
      </c>
      <c r="Q10" s="197"/>
      <c r="S10" s="32">
        <v>213018790</v>
      </c>
      <c r="U10" s="95">
        <v>-33693710</v>
      </c>
      <c r="W10" s="36" t="s">
        <v>215</v>
      </c>
    </row>
    <row r="11" spans="1:23" ht="21.75" customHeight="1" x14ac:dyDescent="0.2">
      <c r="A11" s="163" t="s">
        <v>62</v>
      </c>
      <c r="B11" s="163"/>
      <c r="D11" s="17" t="s">
        <v>215</v>
      </c>
      <c r="F11" s="75">
        <v>-308600490</v>
      </c>
      <c r="H11" s="35">
        <v>0</v>
      </c>
      <c r="J11" s="35">
        <v>-308600490</v>
      </c>
      <c r="L11" s="76">
        <v>-0.08</v>
      </c>
      <c r="N11" s="17" t="s">
        <v>215</v>
      </c>
      <c r="P11" s="174">
        <v>26377468</v>
      </c>
      <c r="Q11" s="174"/>
      <c r="S11" s="34">
        <v>489584928</v>
      </c>
      <c r="U11" s="32">
        <v>515962396</v>
      </c>
      <c r="W11" s="36">
        <v>0.03</v>
      </c>
    </row>
    <row r="12" spans="1:23" ht="21.75" customHeight="1" x14ac:dyDescent="0.2">
      <c r="A12" s="164" t="s">
        <v>61</v>
      </c>
      <c r="B12" s="164"/>
      <c r="D12" s="46" t="s">
        <v>215</v>
      </c>
      <c r="F12" s="75">
        <v>4503264370</v>
      </c>
      <c r="H12" s="35">
        <v>0</v>
      </c>
      <c r="J12" s="75">
        <v>4503264370</v>
      </c>
      <c r="L12" s="83">
        <v>1.1399999999999999</v>
      </c>
      <c r="N12" s="17" t="s">
        <v>215</v>
      </c>
      <c r="P12" s="174">
        <v>9214877554</v>
      </c>
      <c r="Q12" s="174"/>
      <c r="S12" s="34">
        <v>2530704584</v>
      </c>
      <c r="U12" s="33">
        <v>11745582138</v>
      </c>
      <c r="W12" s="58">
        <v>0.61</v>
      </c>
    </row>
    <row r="13" spans="1:23" ht="21.75" customHeight="1" x14ac:dyDescent="0.2">
      <c r="A13" s="147"/>
      <c r="B13" s="147"/>
      <c r="D13" s="19" t="s">
        <v>215</v>
      </c>
      <c r="F13" s="80">
        <v>2907052459</v>
      </c>
      <c r="H13" s="38">
        <v>1623142254</v>
      </c>
      <c r="J13" s="81">
        <v>4530194713</v>
      </c>
      <c r="L13" s="82">
        <v>1.1499999999999999</v>
      </c>
      <c r="N13" s="19" t="s">
        <v>215</v>
      </c>
      <c r="Q13" s="73">
        <v>9510350633</v>
      </c>
      <c r="S13" s="73">
        <v>6551895294</v>
      </c>
      <c r="U13" s="73">
        <v>16062245927</v>
      </c>
      <c r="W13" s="82">
        <v>0.84</v>
      </c>
    </row>
  </sheetData>
  <sheetProtection algorithmName="SHA-512" hashValue="0S0DZLwjl3QkzeN4lM4gr6tV7+vOZI7bQEBHltCVhqtSwFh+v7jRt6VBGiNUbe/IKGBzmYDg30fXTAVc59ej+Q==" saltValue="CR3nEubNApocn6Cc1p4LWQ==" spinCount="100000" sheet="1" objects="1" scenarios="1" selectLockedCells="1" autoFilter="0" selectUnlockedCells="1"/>
  <mergeCells count="23">
    <mergeCell ref="A1:W1"/>
    <mergeCell ref="A2:W2"/>
    <mergeCell ref="A3:W3"/>
    <mergeCell ref="B5:W5"/>
    <mergeCell ref="D6:L6"/>
    <mergeCell ref="N6:W6"/>
    <mergeCell ref="J7:L7"/>
    <mergeCell ref="U7:W7"/>
    <mergeCell ref="P8:Q8"/>
    <mergeCell ref="A9:B9"/>
    <mergeCell ref="P9:Q9"/>
    <mergeCell ref="S7:S8"/>
    <mergeCell ref="P10:Q10"/>
    <mergeCell ref="A11:B11"/>
    <mergeCell ref="P11:Q11"/>
    <mergeCell ref="A12:B12"/>
    <mergeCell ref="P12:Q12"/>
    <mergeCell ref="A13:B13"/>
    <mergeCell ref="A7:B8"/>
    <mergeCell ref="D7:D8"/>
    <mergeCell ref="F7:F8"/>
    <mergeCell ref="H7:H8"/>
    <mergeCell ref="A10:B10"/>
  </mergeCells>
  <pageMargins left="0.39" right="0.39" top="0.39" bottom="0.39" header="0" footer="0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29"/>
  <sheetViews>
    <sheetView rightToLeft="1" view="pageBreakPreview" zoomScale="91" zoomScaleNormal="100" zoomScaleSheetLayoutView="91" workbookViewId="0">
      <selection activeCell="T32" sqref="T32"/>
    </sheetView>
  </sheetViews>
  <sheetFormatPr defaultRowHeight="12.75" x14ac:dyDescent="0.2"/>
  <cols>
    <col min="1" max="1" width="5.140625" customWidth="1"/>
    <col min="2" max="2" width="22.42578125" customWidth="1"/>
    <col min="3" max="3" width="1.28515625" customWidth="1"/>
    <col min="4" max="4" width="15.710937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8" bestFit="1" customWidth="1"/>
    <col min="13" max="13" width="1.28515625" customWidth="1"/>
    <col min="14" max="14" width="15.42578125" bestFit="1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ht="14.45" customHeight="1" x14ac:dyDescent="0.2"/>
    <row r="5" spans="1:18" ht="18.75" customHeight="1" x14ac:dyDescent="0.2">
      <c r="A5" s="60" t="s">
        <v>172</v>
      </c>
      <c r="B5" s="195" t="s">
        <v>173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18" ht="14.45" customHeight="1" x14ac:dyDescent="0.2">
      <c r="D6" s="183" t="s">
        <v>162</v>
      </c>
      <c r="E6" s="183"/>
      <c r="F6" s="183"/>
      <c r="G6" s="183"/>
      <c r="H6" s="183"/>
      <c r="I6" s="183"/>
      <c r="J6" s="183"/>
      <c r="L6" s="183" t="s">
        <v>163</v>
      </c>
      <c r="M6" s="183"/>
      <c r="N6" s="183"/>
      <c r="O6" s="183"/>
      <c r="P6" s="183"/>
      <c r="Q6" s="183"/>
      <c r="R6" s="183"/>
    </row>
    <row r="7" spans="1:18" ht="14.45" customHeight="1" x14ac:dyDescent="0.2">
      <c r="A7" s="147" t="s">
        <v>174</v>
      </c>
      <c r="B7" s="147"/>
      <c r="D7" s="182" t="s">
        <v>175</v>
      </c>
      <c r="E7" s="2"/>
      <c r="F7" s="182" t="s">
        <v>166</v>
      </c>
      <c r="G7" s="2"/>
      <c r="H7" s="182" t="s">
        <v>167</v>
      </c>
      <c r="I7" s="2"/>
      <c r="J7" s="182" t="s">
        <v>30</v>
      </c>
      <c r="L7" s="182" t="s">
        <v>175</v>
      </c>
      <c r="M7" s="2"/>
      <c r="N7" s="182" t="s">
        <v>166</v>
      </c>
      <c r="O7" s="2"/>
      <c r="P7" s="182" t="s">
        <v>167</v>
      </c>
      <c r="Q7" s="2"/>
      <c r="R7" s="182" t="s">
        <v>30</v>
      </c>
    </row>
    <row r="8" spans="1:18" ht="14.45" customHeight="1" x14ac:dyDescent="0.2">
      <c r="A8" s="148"/>
      <c r="B8" s="148"/>
      <c r="D8" s="183"/>
      <c r="F8" s="183"/>
      <c r="H8" s="183"/>
      <c r="J8" s="183"/>
      <c r="L8" s="183"/>
      <c r="N8" s="183"/>
      <c r="P8" s="183"/>
      <c r="R8" s="183"/>
    </row>
    <row r="9" spans="1:18" ht="21.75" customHeight="1" x14ac:dyDescent="0.2">
      <c r="A9" s="163" t="s">
        <v>85</v>
      </c>
      <c r="B9" s="163"/>
      <c r="D9" s="96" t="s">
        <v>215</v>
      </c>
      <c r="F9" s="96" t="s">
        <v>215</v>
      </c>
      <c r="H9" s="32">
        <v>342268375</v>
      </c>
      <c r="J9" s="96">
        <v>342268375</v>
      </c>
      <c r="L9" s="96" t="s">
        <v>215</v>
      </c>
      <c r="N9" s="26" t="s">
        <v>215</v>
      </c>
      <c r="P9" s="97">
        <v>342268375</v>
      </c>
      <c r="R9" s="32">
        <v>342268375</v>
      </c>
    </row>
    <row r="10" spans="1:18" ht="21.75" customHeight="1" x14ac:dyDescent="0.2">
      <c r="A10" s="163" t="s">
        <v>176</v>
      </c>
      <c r="B10" s="163"/>
      <c r="D10" s="96" t="s">
        <v>215</v>
      </c>
      <c r="F10" s="96" t="s">
        <v>215</v>
      </c>
      <c r="H10" s="27" t="s">
        <v>215</v>
      </c>
      <c r="J10" s="96" t="s">
        <v>215</v>
      </c>
      <c r="L10" s="96">
        <v>6670374537</v>
      </c>
      <c r="N10" s="97">
        <v>0</v>
      </c>
      <c r="P10" s="97">
        <v>-53515625</v>
      </c>
      <c r="R10" s="32">
        <v>6616858912</v>
      </c>
    </row>
    <row r="11" spans="1:18" ht="21.75" customHeight="1" x14ac:dyDescent="0.2">
      <c r="A11" s="163" t="s">
        <v>177</v>
      </c>
      <c r="B11" s="163"/>
      <c r="D11" s="96" t="s">
        <v>215</v>
      </c>
      <c r="F11" s="97">
        <v>0</v>
      </c>
      <c r="H11" s="27" t="s">
        <v>215</v>
      </c>
      <c r="J11" s="96" t="s">
        <v>215</v>
      </c>
      <c r="L11" s="96">
        <v>12161930498</v>
      </c>
      <c r="N11" s="97">
        <v>0</v>
      </c>
      <c r="P11" s="97">
        <v>7873840392</v>
      </c>
      <c r="R11" s="32">
        <v>20035770890</v>
      </c>
    </row>
    <row r="12" spans="1:18" ht="21.75" customHeight="1" x14ac:dyDescent="0.2">
      <c r="A12" s="163" t="s">
        <v>106</v>
      </c>
      <c r="B12" s="163"/>
      <c r="D12" s="96">
        <v>37712616477</v>
      </c>
      <c r="F12" s="97">
        <v>-24928840088</v>
      </c>
      <c r="H12" s="27" t="s">
        <v>215</v>
      </c>
      <c r="J12" s="96">
        <v>12783776389</v>
      </c>
      <c r="L12" s="96">
        <v>38900574771</v>
      </c>
      <c r="N12" s="97">
        <v>-25039465116</v>
      </c>
      <c r="P12" s="27" t="s">
        <v>215</v>
      </c>
      <c r="R12" s="32">
        <v>13861109655</v>
      </c>
    </row>
    <row r="13" spans="1:18" ht="21.75" customHeight="1" x14ac:dyDescent="0.2">
      <c r="A13" s="163" t="s">
        <v>112</v>
      </c>
      <c r="B13" s="163"/>
      <c r="D13" s="96">
        <v>19687949234</v>
      </c>
      <c r="F13" s="96" t="s">
        <v>215</v>
      </c>
      <c r="H13" s="27" t="s">
        <v>215</v>
      </c>
      <c r="J13" s="96">
        <v>19687949234</v>
      </c>
      <c r="L13" s="96">
        <v>62723400047</v>
      </c>
      <c r="N13" s="97">
        <v>-90625000</v>
      </c>
      <c r="P13" s="27" t="s">
        <v>215</v>
      </c>
      <c r="R13" s="32">
        <v>62632775047</v>
      </c>
    </row>
    <row r="14" spans="1:18" ht="21.75" customHeight="1" x14ac:dyDescent="0.2">
      <c r="A14" s="163" t="s">
        <v>103</v>
      </c>
      <c r="B14" s="163"/>
      <c r="D14" s="96">
        <v>36030288560</v>
      </c>
      <c r="F14" s="96" t="s">
        <v>215</v>
      </c>
      <c r="H14" s="27" t="s">
        <v>215</v>
      </c>
      <c r="J14" s="96">
        <v>36030288560</v>
      </c>
      <c r="L14" s="96">
        <v>222820437966</v>
      </c>
      <c r="N14" s="97">
        <v>-120000000</v>
      </c>
      <c r="P14" s="27" t="s">
        <v>215</v>
      </c>
      <c r="R14" s="32">
        <v>222700437966</v>
      </c>
    </row>
    <row r="15" spans="1:18" ht="21.75" customHeight="1" x14ac:dyDescent="0.2">
      <c r="A15" s="163" t="s">
        <v>109</v>
      </c>
      <c r="B15" s="163"/>
      <c r="D15" s="96">
        <v>35392423831</v>
      </c>
      <c r="F15" s="96">
        <v>8950677396</v>
      </c>
      <c r="H15" s="27" t="s">
        <v>215</v>
      </c>
      <c r="J15" s="96">
        <v>44343101227</v>
      </c>
      <c r="L15" s="96">
        <v>216864887699</v>
      </c>
      <c r="N15" s="96">
        <v>52118851746</v>
      </c>
      <c r="P15" s="27" t="s">
        <v>215</v>
      </c>
      <c r="R15" s="32">
        <v>268983739445</v>
      </c>
    </row>
    <row r="16" spans="1:18" ht="21.75" customHeight="1" x14ac:dyDescent="0.2">
      <c r="A16" s="163" t="s">
        <v>121</v>
      </c>
      <c r="B16" s="163"/>
      <c r="D16" s="96">
        <v>302762344</v>
      </c>
      <c r="F16" s="97">
        <v>0</v>
      </c>
      <c r="H16" s="27" t="s">
        <v>215</v>
      </c>
      <c r="J16" s="96">
        <v>302762344</v>
      </c>
      <c r="L16" s="96">
        <v>1814344099</v>
      </c>
      <c r="N16" s="96">
        <v>0</v>
      </c>
      <c r="P16" s="27" t="s">
        <v>215</v>
      </c>
      <c r="R16" s="32">
        <v>1814344099</v>
      </c>
    </row>
    <row r="17" spans="1:18" ht="21.75" customHeight="1" x14ac:dyDescent="0.2">
      <c r="A17" s="163" t="s">
        <v>118</v>
      </c>
      <c r="B17" s="163"/>
      <c r="D17" s="96">
        <v>14844077</v>
      </c>
      <c r="F17" s="96" t="s">
        <v>215</v>
      </c>
      <c r="H17" s="27" t="s">
        <v>215</v>
      </c>
      <c r="J17" s="96">
        <v>14844077</v>
      </c>
      <c r="L17" s="96">
        <v>90694733</v>
      </c>
      <c r="N17" s="96">
        <v>18486649</v>
      </c>
      <c r="P17" s="27" t="s">
        <v>215</v>
      </c>
      <c r="R17" s="32">
        <v>109181382</v>
      </c>
    </row>
    <row r="18" spans="1:18" ht="21.75" customHeight="1" x14ac:dyDescent="0.2">
      <c r="A18" s="163" t="s">
        <v>115</v>
      </c>
      <c r="B18" s="163"/>
      <c r="D18" s="96">
        <v>55822573125</v>
      </c>
      <c r="F18" s="96">
        <v>51353330521</v>
      </c>
      <c r="H18" s="27" t="s">
        <v>215</v>
      </c>
      <c r="J18" s="96">
        <v>107175903646</v>
      </c>
      <c r="L18" s="96">
        <v>165996501250</v>
      </c>
      <c r="N18" s="97">
        <v>156704784260</v>
      </c>
      <c r="P18" s="27" t="s">
        <v>215</v>
      </c>
      <c r="R18" s="32">
        <v>322701285510</v>
      </c>
    </row>
    <row r="19" spans="1:18" ht="21.75" customHeight="1" x14ac:dyDescent="0.2">
      <c r="A19" s="163" t="s">
        <v>100</v>
      </c>
      <c r="B19" s="163"/>
      <c r="D19" s="96">
        <v>51819495905</v>
      </c>
      <c r="F19" s="96">
        <v>23575555008</v>
      </c>
      <c r="H19" s="27" t="s">
        <v>215</v>
      </c>
      <c r="J19" s="96">
        <v>75395050913</v>
      </c>
      <c r="L19" s="96">
        <v>242941258142</v>
      </c>
      <c r="N19" s="97">
        <v>124563289762</v>
      </c>
      <c r="P19" s="27" t="s">
        <v>215</v>
      </c>
      <c r="R19" s="32">
        <v>367504547904</v>
      </c>
    </row>
    <row r="20" spans="1:18" ht="21.75" customHeight="1" x14ac:dyDescent="0.2">
      <c r="A20" s="163" t="s">
        <v>98</v>
      </c>
      <c r="B20" s="163"/>
      <c r="D20" s="96">
        <v>19943353942</v>
      </c>
      <c r="F20" s="96">
        <v>11110349464</v>
      </c>
      <c r="H20" s="27" t="s">
        <v>215</v>
      </c>
      <c r="J20" s="96">
        <v>31053703406</v>
      </c>
      <c r="L20" s="96">
        <v>118599359743</v>
      </c>
      <c r="N20" s="96">
        <v>68355269748</v>
      </c>
      <c r="P20" s="27" t="s">
        <v>215</v>
      </c>
      <c r="R20" s="32">
        <v>186954629491</v>
      </c>
    </row>
    <row r="21" spans="1:18" ht="21.75" customHeight="1" x14ac:dyDescent="0.2">
      <c r="A21" s="163" t="s">
        <v>88</v>
      </c>
      <c r="B21" s="163"/>
      <c r="D21" s="27" t="s">
        <v>215</v>
      </c>
      <c r="F21" s="96">
        <v>761687470</v>
      </c>
      <c r="H21" s="27" t="s">
        <v>215</v>
      </c>
      <c r="J21" s="96">
        <v>761687470</v>
      </c>
      <c r="L21" s="27" t="s">
        <v>215</v>
      </c>
      <c r="N21" s="96">
        <v>1118687915</v>
      </c>
      <c r="P21" s="27" t="s">
        <v>215</v>
      </c>
      <c r="R21" s="32">
        <v>1118687915</v>
      </c>
    </row>
    <row r="22" spans="1:18" ht="21.75" customHeight="1" x14ac:dyDescent="0.2">
      <c r="A22" s="163" t="s">
        <v>82</v>
      </c>
      <c r="B22" s="163"/>
      <c r="D22" s="27" t="s">
        <v>215</v>
      </c>
      <c r="F22" s="96">
        <v>1505013567</v>
      </c>
      <c r="H22" s="27" t="s">
        <v>215</v>
      </c>
      <c r="J22" s="96">
        <v>1505013567</v>
      </c>
      <c r="L22" s="27" t="s">
        <v>215</v>
      </c>
      <c r="N22" s="96">
        <v>2080639385</v>
      </c>
      <c r="P22" s="27" t="s">
        <v>215</v>
      </c>
      <c r="R22" s="32">
        <v>2080639385</v>
      </c>
    </row>
    <row r="23" spans="1:18" ht="21.75" customHeight="1" x14ac:dyDescent="0.2">
      <c r="A23" s="163" t="s">
        <v>95</v>
      </c>
      <c r="B23" s="163"/>
      <c r="D23" s="27" t="s">
        <v>215</v>
      </c>
      <c r="F23" s="96">
        <v>319901927</v>
      </c>
      <c r="H23" s="27" t="s">
        <v>215</v>
      </c>
      <c r="J23" s="96">
        <v>319901927</v>
      </c>
      <c r="L23" s="27" t="s">
        <v>215</v>
      </c>
      <c r="N23" s="97">
        <v>468838442</v>
      </c>
      <c r="P23" s="27" t="s">
        <v>215</v>
      </c>
      <c r="R23" s="32">
        <v>468838442</v>
      </c>
    </row>
    <row r="24" spans="1:18" ht="21.75" customHeight="1" x14ac:dyDescent="0.2">
      <c r="A24" s="163" t="s">
        <v>72</v>
      </c>
      <c r="B24" s="163"/>
      <c r="D24" s="27" t="s">
        <v>215</v>
      </c>
      <c r="F24" s="96">
        <v>466167742</v>
      </c>
      <c r="H24" s="27" t="s">
        <v>215</v>
      </c>
      <c r="J24" s="96">
        <v>466167742</v>
      </c>
      <c r="L24" s="27" t="s">
        <v>215</v>
      </c>
      <c r="N24" s="97">
        <v>723513464</v>
      </c>
      <c r="P24" s="27" t="s">
        <v>215</v>
      </c>
      <c r="R24" s="32">
        <v>723513464</v>
      </c>
    </row>
    <row r="25" spans="1:18" ht="21.75" customHeight="1" x14ac:dyDescent="0.2">
      <c r="A25" s="163" t="s">
        <v>79</v>
      </c>
      <c r="B25" s="163"/>
      <c r="D25" s="27" t="s">
        <v>215</v>
      </c>
      <c r="F25" s="96">
        <v>614945201</v>
      </c>
      <c r="H25" s="27" t="s">
        <v>215</v>
      </c>
      <c r="J25" s="96">
        <v>614945201</v>
      </c>
      <c r="L25" s="27" t="s">
        <v>215</v>
      </c>
      <c r="N25" s="96">
        <v>815158334</v>
      </c>
      <c r="P25" s="27" t="s">
        <v>215</v>
      </c>
      <c r="R25" s="32">
        <v>815158334</v>
      </c>
    </row>
    <row r="26" spans="1:18" ht="21.75" customHeight="1" x14ac:dyDescent="0.2">
      <c r="A26" s="163" t="s">
        <v>92</v>
      </c>
      <c r="B26" s="163"/>
      <c r="D26" s="27" t="s">
        <v>215</v>
      </c>
      <c r="F26" s="96">
        <v>357385372</v>
      </c>
      <c r="H26" s="27" t="s">
        <v>215</v>
      </c>
      <c r="J26" s="96">
        <v>357385372</v>
      </c>
      <c r="L26" s="27" t="s">
        <v>215</v>
      </c>
      <c r="N26" s="96">
        <v>663574156</v>
      </c>
      <c r="P26" s="27" t="s">
        <v>215</v>
      </c>
      <c r="R26" s="32">
        <v>663574156</v>
      </c>
    </row>
    <row r="27" spans="1:18" ht="21.75" customHeight="1" x14ac:dyDescent="0.2">
      <c r="A27" s="163" t="s">
        <v>76</v>
      </c>
      <c r="B27" s="163"/>
      <c r="D27" s="27" t="s">
        <v>215</v>
      </c>
      <c r="F27" s="96">
        <v>1398094549</v>
      </c>
      <c r="H27" s="27" t="s">
        <v>215</v>
      </c>
      <c r="J27" s="96">
        <v>1398094549</v>
      </c>
      <c r="L27" s="27" t="s">
        <v>215</v>
      </c>
      <c r="N27" s="96">
        <v>7213108387</v>
      </c>
      <c r="P27" s="27" t="s">
        <v>215</v>
      </c>
      <c r="R27" s="32">
        <v>7213108387</v>
      </c>
    </row>
    <row r="28" spans="1:18" ht="21.75" customHeight="1" x14ac:dyDescent="0.2">
      <c r="A28" s="163" t="s">
        <v>89</v>
      </c>
      <c r="B28" s="163"/>
      <c r="D28" s="46" t="s">
        <v>215</v>
      </c>
      <c r="F28" s="96">
        <v>1446587758</v>
      </c>
      <c r="H28" s="27" t="s">
        <v>215</v>
      </c>
      <c r="J28" s="96">
        <v>1446587758</v>
      </c>
      <c r="L28" s="27" t="s">
        <v>215</v>
      </c>
      <c r="N28" s="96">
        <v>2088800695</v>
      </c>
      <c r="P28" s="27" t="s">
        <v>215</v>
      </c>
      <c r="R28" s="32">
        <v>2088800695</v>
      </c>
    </row>
    <row r="29" spans="1:18" ht="21.75" customHeight="1" x14ac:dyDescent="0.2">
      <c r="A29" s="147"/>
      <c r="B29" s="147"/>
      <c r="D29" s="38">
        <v>256726307495</v>
      </c>
      <c r="F29" s="38">
        <v>76930855887</v>
      </c>
      <c r="H29" s="38">
        <v>342268375</v>
      </c>
      <c r="J29" s="38">
        <v>333999431757</v>
      </c>
      <c r="L29" s="38">
        <v>1089583763485</v>
      </c>
      <c r="N29" s="38">
        <v>391682912827</v>
      </c>
      <c r="P29" s="38">
        <v>8162593142</v>
      </c>
      <c r="R29" s="38">
        <v>1489429269454</v>
      </c>
    </row>
  </sheetData>
  <sheetProtection algorithmName="SHA-512" hashValue="ZcoRcbEvHCL9L567Bu3McHiurqypPsm92usSO73SYY9FTZXKtzc1Rt0CGOdMmMU2RDmgIvSVENayWLplblfS5w==" saltValue="Z0Mwa4+RNIx+6e+wsaUxvA==" spinCount="100000" sheet="1" objects="1" scenarios="1" selectLockedCells="1" autoFilter="0" selectUnlockedCells="1"/>
  <mergeCells count="36">
    <mergeCell ref="H7:H8"/>
    <mergeCell ref="F7:F8"/>
    <mergeCell ref="D7:D8"/>
    <mergeCell ref="R7:R8"/>
    <mergeCell ref="P7:P8"/>
    <mergeCell ref="N7:N8"/>
    <mergeCell ref="L7:L8"/>
    <mergeCell ref="J7:J8"/>
    <mergeCell ref="A1:R1"/>
    <mergeCell ref="A2:R2"/>
    <mergeCell ref="A3:R3"/>
    <mergeCell ref="B5:R5"/>
    <mergeCell ref="D6:J6"/>
    <mergeCell ref="L6:R6"/>
    <mergeCell ref="A9:B9"/>
    <mergeCell ref="A10:B10"/>
    <mergeCell ref="A11:B11"/>
    <mergeCell ref="A12:B12"/>
    <mergeCell ref="A7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</mergeCells>
  <pageMargins left="0.39" right="0.39" top="0.39" bottom="0.39" header="0" footer="0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47"/>
  <sheetViews>
    <sheetView rightToLeft="1" view="pageBreakPreview" zoomScaleNormal="85" zoomScaleSheetLayoutView="100" workbookViewId="0">
      <selection activeCell="F21" sqref="F21"/>
    </sheetView>
  </sheetViews>
  <sheetFormatPr defaultRowHeight="12.75" x14ac:dyDescent="0.2"/>
  <cols>
    <col min="1" max="1" width="5.140625" customWidth="1"/>
    <col min="2" max="2" width="20.140625" customWidth="1"/>
    <col min="3" max="3" width="1.28515625" customWidth="1"/>
    <col min="4" max="4" width="19.42578125" customWidth="1"/>
    <col min="5" max="5" width="1.28515625" customWidth="1"/>
    <col min="6" max="6" width="14.28515625" customWidth="1"/>
    <col min="7" max="7" width="1.28515625" customWidth="1"/>
    <col min="8" max="8" width="19.42578125" customWidth="1"/>
    <col min="9" max="9" width="1.28515625" customWidth="1"/>
    <col min="10" max="10" width="14.7109375" customWidth="1"/>
    <col min="11" max="11" width="0.28515625" hidden="1" customWidth="1"/>
    <col min="14" max="14" width="15" bestFit="1" customWidth="1"/>
  </cols>
  <sheetData>
    <row r="1" spans="1:14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4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4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4" ht="14.45" customHeight="1" x14ac:dyDescent="0.2"/>
    <row r="5" spans="1:14" ht="19.5" customHeight="1" x14ac:dyDescent="0.2">
      <c r="A5" s="60" t="s">
        <v>184</v>
      </c>
      <c r="B5" s="195" t="s">
        <v>185</v>
      </c>
      <c r="C5" s="195"/>
      <c r="D5" s="195"/>
      <c r="E5" s="195"/>
      <c r="F5" s="195"/>
      <c r="G5" s="195"/>
      <c r="H5" s="195"/>
      <c r="I5" s="195"/>
      <c r="J5" s="195"/>
    </row>
    <row r="6" spans="1:14" ht="14.45" customHeight="1" x14ac:dyDescent="0.2">
      <c r="D6" s="183" t="s">
        <v>162</v>
      </c>
      <c r="E6" s="183"/>
      <c r="F6" s="183"/>
      <c r="H6" s="183" t="s">
        <v>163</v>
      </c>
      <c r="I6" s="183"/>
      <c r="J6" s="183"/>
    </row>
    <row r="7" spans="1:14" ht="36.4" customHeight="1" x14ac:dyDescent="0.2">
      <c r="A7" s="183" t="s">
        <v>186</v>
      </c>
      <c r="B7" s="183"/>
      <c r="D7" s="74" t="s">
        <v>187</v>
      </c>
      <c r="E7" s="2"/>
      <c r="F7" s="74" t="s">
        <v>188</v>
      </c>
      <c r="H7" s="74" t="s">
        <v>187</v>
      </c>
      <c r="I7" s="2"/>
      <c r="J7" s="39" t="s">
        <v>188</v>
      </c>
    </row>
    <row r="8" spans="1:14" ht="21.75" customHeight="1" x14ac:dyDescent="0.2">
      <c r="A8" s="199" t="s">
        <v>223</v>
      </c>
      <c r="B8" s="199"/>
      <c r="C8" s="128"/>
      <c r="D8" s="129">
        <v>19095998607</v>
      </c>
      <c r="E8" s="128"/>
      <c r="F8" s="130">
        <f>D8/$D$14</f>
        <v>0.27127309248788262</v>
      </c>
      <c r="G8" s="128"/>
      <c r="H8" s="131">
        <v>161081927912</v>
      </c>
      <c r="I8" s="128"/>
      <c r="J8" s="132">
        <f t="shared" ref="J8:J13" si="0">H8/$H$14</f>
        <v>0.42551542557427768</v>
      </c>
      <c r="N8" s="62"/>
    </row>
    <row r="9" spans="1:14" ht="21.75" customHeight="1" x14ac:dyDescent="0.2">
      <c r="A9" s="199" t="s">
        <v>224</v>
      </c>
      <c r="B9" s="199"/>
      <c r="C9" s="128"/>
      <c r="D9" s="133">
        <v>64319</v>
      </c>
      <c r="E9" s="128"/>
      <c r="F9" s="130">
        <f>D9/$D$14</f>
        <v>9.1370000568245852E-7</v>
      </c>
      <c r="G9" s="128"/>
      <c r="H9" s="131">
        <v>141487</v>
      </c>
      <c r="I9" s="128"/>
      <c r="J9" s="130">
        <f t="shared" si="0"/>
        <v>3.7375329311378813E-7</v>
      </c>
    </row>
    <row r="10" spans="1:14" ht="21.75" customHeight="1" x14ac:dyDescent="0.2">
      <c r="A10" s="199" t="s">
        <v>225</v>
      </c>
      <c r="B10" s="199"/>
      <c r="C10" s="128"/>
      <c r="D10" s="133">
        <v>39980561451</v>
      </c>
      <c r="E10" s="128"/>
      <c r="F10" s="130">
        <f>D10/$D$14</f>
        <v>0.56795409171421485</v>
      </c>
      <c r="G10" s="128"/>
      <c r="H10" s="131">
        <v>190632755976</v>
      </c>
      <c r="I10" s="128"/>
      <c r="J10" s="130">
        <f t="shared" si="0"/>
        <v>0.50357715070209397</v>
      </c>
      <c r="N10" s="62"/>
    </row>
    <row r="11" spans="1:14" ht="21.75" customHeight="1" x14ac:dyDescent="0.2">
      <c r="A11" s="199" t="s">
        <v>226</v>
      </c>
      <c r="B11" s="199"/>
      <c r="C11" s="128"/>
      <c r="D11" s="134">
        <v>11317367867</v>
      </c>
      <c r="E11" s="128"/>
      <c r="F11" s="130">
        <f>D11/$D$14</f>
        <v>0.16077176393271622</v>
      </c>
      <c r="G11" s="128"/>
      <c r="H11" s="131">
        <v>20448875123</v>
      </c>
      <c r="I11" s="128"/>
      <c r="J11" s="130">
        <f t="shared" si="0"/>
        <v>5.4017926860374939E-2</v>
      </c>
      <c r="N11" s="62"/>
    </row>
    <row r="12" spans="1:14" ht="21.75" customHeight="1" x14ac:dyDescent="0.2">
      <c r="A12" s="199" t="s">
        <v>227</v>
      </c>
      <c r="B12" s="199"/>
      <c r="C12" s="128"/>
      <c r="D12" s="134">
        <v>6267</v>
      </c>
      <c r="E12" s="128"/>
      <c r="F12" s="130">
        <f>D12/$D$14</f>
        <v>8.9027471440973394E-8</v>
      </c>
      <c r="G12" s="128"/>
      <c r="H12" s="131">
        <v>42853</v>
      </c>
      <c r="I12" s="128"/>
      <c r="J12" s="130">
        <f t="shared" si="0"/>
        <v>1.1320085852272761E-7</v>
      </c>
    </row>
    <row r="13" spans="1:14" ht="21.75" customHeight="1" x14ac:dyDescent="0.2">
      <c r="A13" s="199" t="s">
        <v>228</v>
      </c>
      <c r="B13" s="199"/>
      <c r="C13" s="128"/>
      <c r="D13" s="131">
        <v>3459</v>
      </c>
      <c r="E13" s="128"/>
      <c r="F13" s="130">
        <f>D13/D14</f>
        <v>4.9137709225199772E-8</v>
      </c>
      <c r="G13" s="128"/>
      <c r="H13" s="131">
        <v>6393456296</v>
      </c>
      <c r="I13" s="128"/>
      <c r="J13" s="130">
        <f t="shared" si="0"/>
        <v>1.688900990910177E-2</v>
      </c>
    </row>
    <row r="14" spans="1:14" ht="21.75" customHeight="1" thickBot="1" x14ac:dyDescent="0.25">
      <c r="A14" s="147"/>
      <c r="B14" s="147"/>
      <c r="D14" s="38">
        <f>SUM(D8:D13)</f>
        <v>70394001970</v>
      </c>
      <c r="F14" s="98">
        <v>100</v>
      </c>
      <c r="H14" s="38">
        <f>SUM(H8:H13)</f>
        <v>378557199647</v>
      </c>
      <c r="J14" s="98">
        <v>100</v>
      </c>
    </row>
    <row r="15" spans="1:14" ht="21.75" customHeight="1" thickTop="1" x14ac:dyDescent="0.2"/>
    <row r="16" spans="1:14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</sheetData>
  <sheetProtection algorithmName="SHA-512" hashValue="mO15vXK/BVcaVvDeQL2PfgVvU+eYkmCBPwGVDqqkDtwVvSFS5cJe30ahkh0yDts6KbwZHU6MY3KTQ4OznGy6PQ==" saltValue="YblmetnU1zHmwqusNVGqOA==" spinCount="100000" sheet="1" objects="1" scenarios="1" selectLockedCells="1" autoFilter="0" selectUnlockedCells="1"/>
  <mergeCells count="14">
    <mergeCell ref="A1:J1"/>
    <mergeCell ref="A2:J2"/>
    <mergeCell ref="A3:J3"/>
    <mergeCell ref="B5:J5"/>
    <mergeCell ref="D6:F6"/>
    <mergeCell ref="H6:J6"/>
    <mergeCell ref="A14:B14"/>
    <mergeCell ref="A13:B13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F10"/>
  <sheetViews>
    <sheetView rightToLeft="1" view="pageBreakPreview" zoomScaleNormal="100" zoomScaleSheetLayoutView="100" workbookViewId="0">
      <selection activeCell="M31" sqref="M31"/>
    </sheetView>
  </sheetViews>
  <sheetFormatPr defaultRowHeight="12.75" x14ac:dyDescent="0.2"/>
  <cols>
    <col min="1" max="1" width="5.140625" customWidth="1"/>
    <col min="2" max="2" width="10.85546875" customWidth="1"/>
    <col min="3" max="3" width="1.28515625" customWidth="1"/>
    <col min="4" max="4" width="15.28515625" customWidth="1"/>
    <col min="5" max="5" width="1.28515625" customWidth="1"/>
    <col min="6" max="6" width="15.42578125" customWidth="1"/>
    <col min="7" max="7" width="0.28515625" customWidth="1"/>
  </cols>
  <sheetData>
    <row r="1" spans="1:6" ht="29.1" customHeight="1" x14ac:dyDescent="0.2">
      <c r="A1" s="186" t="s">
        <v>0</v>
      </c>
      <c r="B1" s="186"/>
      <c r="C1" s="186"/>
      <c r="D1" s="186"/>
      <c r="E1" s="186"/>
      <c r="F1" s="186"/>
    </row>
    <row r="2" spans="1:6" ht="21.75" customHeight="1" x14ac:dyDescent="0.2">
      <c r="A2" s="186" t="s">
        <v>143</v>
      </c>
      <c r="B2" s="186"/>
      <c r="C2" s="186"/>
      <c r="D2" s="186"/>
      <c r="E2" s="186"/>
      <c r="F2" s="186"/>
    </row>
    <row r="3" spans="1:6" ht="21.75" customHeight="1" x14ac:dyDescent="0.2">
      <c r="A3" s="186" t="s">
        <v>2</v>
      </c>
      <c r="B3" s="186"/>
      <c r="C3" s="186"/>
      <c r="D3" s="186"/>
      <c r="E3" s="186"/>
      <c r="F3" s="186"/>
    </row>
    <row r="4" spans="1:6" ht="14.45" customHeight="1" x14ac:dyDescent="0.2"/>
    <row r="5" spans="1:6" ht="29.1" customHeight="1" x14ac:dyDescent="0.2">
      <c r="A5" s="60" t="s">
        <v>189</v>
      </c>
      <c r="B5" s="195" t="s">
        <v>158</v>
      </c>
      <c r="C5" s="195"/>
      <c r="D5" s="195"/>
      <c r="E5" s="195"/>
      <c r="F5" s="195"/>
    </row>
    <row r="6" spans="1:6" ht="20.25" customHeight="1" x14ac:dyDescent="0.2">
      <c r="A6" s="8"/>
      <c r="B6" s="8"/>
      <c r="D6" s="99" t="s">
        <v>162</v>
      </c>
      <c r="F6" s="40" t="s">
        <v>9</v>
      </c>
    </row>
    <row r="7" spans="1:6" ht="14.45" customHeight="1" x14ac:dyDescent="0.2">
      <c r="A7" s="147"/>
      <c r="B7" s="147"/>
      <c r="D7" s="40" t="s">
        <v>140</v>
      </c>
      <c r="F7" s="41" t="s">
        <v>140</v>
      </c>
    </row>
    <row r="8" spans="1:6" ht="21.75" customHeight="1" x14ac:dyDescent="0.2">
      <c r="A8" s="164" t="s">
        <v>232</v>
      </c>
      <c r="B8" s="164"/>
      <c r="D8" s="26" t="s">
        <v>215</v>
      </c>
      <c r="F8" s="26">
        <v>433418</v>
      </c>
    </row>
    <row r="9" spans="1:6" ht="21.75" customHeight="1" x14ac:dyDescent="0.2">
      <c r="A9" s="163" t="s">
        <v>233</v>
      </c>
      <c r="B9" s="163"/>
      <c r="D9" s="27" t="s">
        <v>215</v>
      </c>
      <c r="F9" s="27">
        <v>45880708</v>
      </c>
    </row>
    <row r="10" spans="1:6" ht="21.75" customHeight="1" x14ac:dyDescent="0.2">
      <c r="A10" s="147"/>
      <c r="B10" s="147"/>
      <c r="D10" s="19" t="s">
        <v>215</v>
      </c>
      <c r="F10" s="38">
        <v>46314126</v>
      </c>
    </row>
  </sheetData>
  <sheetProtection algorithmName="SHA-512" hashValue="JynmdY9PL8t0+D5/zJF3LGlM5mVXFbl6KSEZ4nPdTXgxlCTvkqcpYbSQosMbr/neIBtK/UQQBLisp8UTIaAE2g==" saltValue="enkV1cW7clYHU+QUCQFztA==" spinCount="100000" sheet="1" objects="1" scenarios="1" selectLockedCells="1" autoFilter="0" selectUnlockedCells="1"/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H9"/>
  <sheetViews>
    <sheetView rightToLeft="1" view="pageBreakPreview" zoomScale="98" zoomScaleNormal="100" zoomScaleSheetLayoutView="98" workbookViewId="0">
      <selection activeCell="E26" sqref="E26"/>
    </sheetView>
  </sheetViews>
  <sheetFormatPr defaultRowHeight="12.75" x14ac:dyDescent="0.2"/>
  <cols>
    <col min="1" max="1" width="14.5703125" customWidth="1"/>
    <col min="2" max="2" width="11.85546875" customWidth="1"/>
    <col min="3" max="3" width="16.5703125" customWidth="1"/>
    <col min="4" max="4" width="11" customWidth="1"/>
    <col min="5" max="5" width="18.5703125" customWidth="1"/>
    <col min="6" max="6" width="29.85546875" customWidth="1"/>
    <col min="7" max="7" width="11.28515625" customWidth="1"/>
    <col min="8" max="8" width="26" customWidth="1"/>
  </cols>
  <sheetData>
    <row r="1" spans="1:8" ht="21" x14ac:dyDescent="0.2">
      <c r="A1" s="200" t="str">
        <f>'[1]سود اوراق بهادار و سپرده بانکی'!A2:S2</f>
        <v>صندوق سرمایه‌گذاری تداوم اطمینان تمدن</v>
      </c>
      <c r="B1" s="200"/>
      <c r="C1" s="200"/>
      <c r="D1" s="200"/>
      <c r="E1" s="200"/>
      <c r="F1" s="200"/>
      <c r="G1" s="200"/>
      <c r="H1" s="200"/>
    </row>
    <row r="2" spans="1:8" ht="21" x14ac:dyDescent="0.2">
      <c r="A2" s="200" t="str">
        <f>'[1]سود اوراق بهادار و سپرده بانکی'!A3:S3</f>
        <v>صورت وضعیت درآمدها</v>
      </c>
      <c r="B2" s="200"/>
      <c r="C2" s="200"/>
      <c r="D2" s="200"/>
      <c r="E2" s="200"/>
      <c r="F2" s="200"/>
      <c r="G2" s="200"/>
      <c r="H2" s="200"/>
    </row>
    <row r="3" spans="1:8" ht="21" x14ac:dyDescent="0.2">
      <c r="A3" s="200" t="str">
        <f>'[2]سایر درآمدها'!A3:F3</f>
        <v>برای ماه منتهی به 1403/04/31</v>
      </c>
      <c r="B3" s="200"/>
      <c r="C3" s="200"/>
      <c r="D3" s="200"/>
      <c r="E3" s="200"/>
      <c r="F3" s="200"/>
      <c r="G3" s="200"/>
      <c r="H3" s="200"/>
    </row>
    <row r="4" spans="1:8" x14ac:dyDescent="0.2">
      <c r="A4" s="100"/>
      <c r="B4" s="100"/>
      <c r="C4" s="100"/>
      <c r="D4" s="100"/>
      <c r="E4" s="100"/>
      <c r="F4" s="100"/>
      <c r="G4" s="100"/>
      <c r="H4" s="100"/>
    </row>
    <row r="5" spans="1:8" ht="21" x14ac:dyDescent="0.2">
      <c r="A5" s="201" t="s">
        <v>178</v>
      </c>
      <c r="B5" s="201"/>
      <c r="C5" s="201"/>
      <c r="D5" s="201"/>
      <c r="E5" s="201"/>
      <c r="F5" s="201"/>
      <c r="G5" s="201"/>
      <c r="H5" s="201"/>
    </row>
    <row r="6" spans="1:8" ht="13.5" thickBot="1" x14ac:dyDescent="0.25">
      <c r="A6" s="100"/>
      <c r="B6" s="100"/>
      <c r="C6" s="100"/>
      <c r="D6" s="100"/>
      <c r="E6" s="100"/>
      <c r="F6" s="100"/>
      <c r="G6" s="100"/>
      <c r="H6" s="100"/>
    </row>
    <row r="7" spans="1:8" ht="45" customHeight="1" thickBot="1" x14ac:dyDescent="0.25">
      <c r="A7" s="101" t="s">
        <v>180</v>
      </c>
      <c r="B7" s="102" t="s">
        <v>181</v>
      </c>
      <c r="C7" s="102" t="s">
        <v>182</v>
      </c>
      <c r="D7" s="102" t="s">
        <v>51</v>
      </c>
      <c r="E7" s="102" t="s">
        <v>234</v>
      </c>
      <c r="F7" s="102" t="s">
        <v>235</v>
      </c>
      <c r="G7" s="102" t="s">
        <v>236</v>
      </c>
      <c r="H7" s="103" t="s">
        <v>179</v>
      </c>
    </row>
    <row r="8" spans="1:8" ht="39.75" customHeight="1" thickBot="1" x14ac:dyDescent="0.25">
      <c r="A8" s="104" t="s">
        <v>237</v>
      </c>
      <c r="B8" s="105" t="s">
        <v>183</v>
      </c>
      <c r="C8" s="105" t="s">
        <v>112</v>
      </c>
      <c r="D8" s="105">
        <v>500000</v>
      </c>
      <c r="E8" s="105">
        <f>D8*1000000</f>
        <v>500000000000</v>
      </c>
      <c r="F8" s="105">
        <v>9740437150</v>
      </c>
      <c r="G8" s="106">
        <v>0.23</v>
      </c>
      <c r="H8" s="107" t="s">
        <v>215</v>
      </c>
    </row>
    <row r="9" spans="1:8" ht="41.25" customHeight="1" thickBot="1" x14ac:dyDescent="0.25">
      <c r="A9" s="104" t="s">
        <v>237</v>
      </c>
      <c r="B9" s="105" t="s">
        <v>183</v>
      </c>
      <c r="C9" s="105" t="s">
        <v>103</v>
      </c>
      <c r="D9" s="105">
        <v>1500000</v>
      </c>
      <c r="E9" s="105">
        <f>D9*1000000</f>
        <v>1500000000000</v>
      </c>
      <c r="F9" s="105">
        <v>5669178072</v>
      </c>
      <c r="G9" s="106">
        <v>0.23</v>
      </c>
      <c r="H9" s="108" t="s">
        <v>215</v>
      </c>
    </row>
  </sheetData>
  <sheetProtection algorithmName="SHA-512" hashValue="+Jw2oWVMIWDYZ665avsXBSUJEvrmbrO8XzL46yC/O0PvCMRFXccsS303dc+1/GQkavGTwhjIpa8XTi5Ut+fgUQ==" saltValue="elgIEYNFirDIybgVx+Up7g==" spinCount="100000" sheet="1" objects="1" scenarios="1" selectLockedCells="1" autoFilter="0" selectUnlockedCells="1"/>
  <mergeCells count="4">
    <mergeCell ref="A1:H1"/>
    <mergeCell ref="A2:H2"/>
    <mergeCell ref="A3:H3"/>
    <mergeCell ref="A5:H5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S21"/>
  <sheetViews>
    <sheetView rightToLeft="1" view="pageBreakPreview" zoomScale="95" zoomScaleNormal="100" zoomScaleSheetLayoutView="95" workbookViewId="0">
      <selection activeCell="E26" sqref="E26"/>
    </sheetView>
  </sheetViews>
  <sheetFormatPr defaultRowHeight="12.75" x14ac:dyDescent="0.2"/>
  <cols>
    <col min="1" max="1" width="27.140625" customWidth="1"/>
    <col min="2" max="2" width="1.28515625" customWidth="1"/>
    <col min="3" max="3" width="16.85546875" customWidth="1"/>
    <col min="4" max="4" width="1.28515625" customWidth="1"/>
    <col min="5" max="5" width="16.140625" customWidth="1"/>
    <col min="6" max="6" width="0.8554687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5703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ht="14.45" customHeight="1" x14ac:dyDescent="0.2"/>
    <row r="5" spans="1:19" ht="21.75" customHeight="1" x14ac:dyDescent="0.2">
      <c r="A5" s="202" t="s">
        <v>165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</row>
    <row r="6" spans="1:19" ht="22.5" customHeight="1" x14ac:dyDescent="0.2">
      <c r="A6" s="183" t="s">
        <v>32</v>
      </c>
      <c r="C6" s="183" t="s">
        <v>190</v>
      </c>
      <c r="D6" s="183"/>
      <c r="E6" s="183"/>
      <c r="F6" s="183"/>
      <c r="G6" s="183"/>
      <c r="I6" s="183" t="s">
        <v>162</v>
      </c>
      <c r="J6" s="183"/>
      <c r="K6" s="183"/>
      <c r="L6" s="183"/>
      <c r="M6" s="183"/>
      <c r="O6" s="183" t="s">
        <v>163</v>
      </c>
      <c r="P6" s="183"/>
      <c r="Q6" s="183"/>
      <c r="R6" s="183"/>
      <c r="S6" s="183"/>
    </row>
    <row r="7" spans="1:19" ht="36.75" customHeight="1" x14ac:dyDescent="0.2">
      <c r="A7" s="183"/>
      <c r="C7" s="74" t="s">
        <v>191</v>
      </c>
      <c r="D7" s="2"/>
      <c r="E7" s="74" t="s">
        <v>192</v>
      </c>
      <c r="F7" s="2"/>
      <c r="G7" s="74" t="s">
        <v>193</v>
      </c>
      <c r="I7" s="109" t="s">
        <v>194</v>
      </c>
      <c r="J7" s="2"/>
      <c r="K7" s="74" t="s">
        <v>195</v>
      </c>
      <c r="L7" s="2"/>
      <c r="M7" s="74" t="s">
        <v>196</v>
      </c>
      <c r="O7" s="74" t="s">
        <v>194</v>
      </c>
      <c r="P7" s="2"/>
      <c r="Q7" s="74" t="s">
        <v>195</v>
      </c>
      <c r="R7" s="2"/>
      <c r="S7" s="74" t="s">
        <v>196</v>
      </c>
    </row>
    <row r="8" spans="1:19" ht="21.75" customHeight="1" x14ac:dyDescent="0.2">
      <c r="A8" s="86" t="s">
        <v>20</v>
      </c>
      <c r="C8" s="48" t="s">
        <v>197</v>
      </c>
      <c r="E8" s="90">
        <v>20000000</v>
      </c>
      <c r="G8" s="90">
        <v>82</v>
      </c>
      <c r="I8" s="91" t="s">
        <v>215</v>
      </c>
      <c r="K8" s="97">
        <v>0</v>
      </c>
      <c r="M8" s="90" t="s">
        <v>215</v>
      </c>
      <c r="O8" s="90">
        <v>1640000000</v>
      </c>
      <c r="Q8" s="90" t="s">
        <v>215</v>
      </c>
      <c r="S8" s="90">
        <v>1640000000</v>
      </c>
    </row>
    <row r="9" spans="1:19" ht="21.75" customHeight="1" x14ac:dyDescent="0.2">
      <c r="A9" s="86" t="s">
        <v>25</v>
      </c>
      <c r="C9" s="47" t="s">
        <v>198</v>
      </c>
      <c r="E9" s="90">
        <v>218115</v>
      </c>
      <c r="G9" s="90">
        <v>3000</v>
      </c>
      <c r="I9" s="91" t="s">
        <v>215</v>
      </c>
      <c r="K9" s="97">
        <v>0</v>
      </c>
      <c r="M9" s="90" t="s">
        <v>215</v>
      </c>
      <c r="O9" s="90">
        <v>654345000</v>
      </c>
      <c r="Q9" s="90" t="s">
        <v>215</v>
      </c>
      <c r="S9" s="90">
        <v>654345000</v>
      </c>
    </row>
    <row r="10" spans="1:19" ht="21.75" customHeight="1" x14ac:dyDescent="0.2">
      <c r="A10" s="86" t="s">
        <v>28</v>
      </c>
      <c r="C10" s="47" t="s">
        <v>7</v>
      </c>
      <c r="E10" s="90">
        <v>10210000</v>
      </c>
      <c r="G10" s="90">
        <v>370</v>
      </c>
      <c r="I10" s="91">
        <v>3777700000</v>
      </c>
      <c r="K10" s="97">
        <f>-478990670</f>
        <v>-478990670</v>
      </c>
      <c r="M10" s="90">
        <v>3298709330</v>
      </c>
      <c r="O10" s="90">
        <v>3777700000</v>
      </c>
      <c r="Q10" s="90">
        <v>478990670</v>
      </c>
      <c r="S10" s="90">
        <v>3298709330</v>
      </c>
    </row>
    <row r="11" spans="1:19" ht="21.75" customHeight="1" x14ac:dyDescent="0.2">
      <c r="A11" s="86" t="s">
        <v>27</v>
      </c>
      <c r="C11" s="47" t="s">
        <v>199</v>
      </c>
      <c r="E11" s="90">
        <v>15000000</v>
      </c>
      <c r="G11" s="90">
        <v>255</v>
      </c>
      <c r="I11" s="91" t="s">
        <v>215</v>
      </c>
      <c r="K11" s="97">
        <v>0</v>
      </c>
      <c r="M11" s="90" t="s">
        <v>215</v>
      </c>
      <c r="O11" s="90">
        <v>3825000000</v>
      </c>
      <c r="Q11" s="90">
        <v>482989228</v>
      </c>
      <c r="S11" s="90">
        <v>3342010772</v>
      </c>
    </row>
    <row r="12" spans="1:19" ht="21.75" customHeight="1" x14ac:dyDescent="0.2">
      <c r="A12" s="86" t="s">
        <v>19</v>
      </c>
      <c r="C12" s="47" t="s">
        <v>199</v>
      </c>
      <c r="E12" s="90">
        <v>14152500</v>
      </c>
      <c r="G12" s="90">
        <v>60</v>
      </c>
      <c r="I12" s="91" t="s">
        <v>215</v>
      </c>
      <c r="K12" s="97">
        <v>0</v>
      </c>
      <c r="M12" s="90" t="s">
        <v>215</v>
      </c>
      <c r="O12" s="90">
        <v>849150000</v>
      </c>
      <c r="Q12" s="90">
        <v>107223609</v>
      </c>
      <c r="S12" s="90">
        <v>741926391</v>
      </c>
    </row>
    <row r="13" spans="1:19" ht="21.75" customHeight="1" x14ac:dyDescent="0.2">
      <c r="A13" s="86" t="s">
        <v>168</v>
      </c>
      <c r="C13" s="49" t="s">
        <v>200</v>
      </c>
      <c r="E13" s="90">
        <v>7000000</v>
      </c>
      <c r="G13" s="90">
        <v>1600</v>
      </c>
      <c r="I13" s="91" t="s">
        <v>215</v>
      </c>
      <c r="K13" s="97">
        <v>0</v>
      </c>
      <c r="M13" s="90" t="s">
        <v>215</v>
      </c>
      <c r="O13" s="90">
        <v>11200000000</v>
      </c>
      <c r="Q13" s="90" t="s">
        <v>215</v>
      </c>
      <c r="S13" s="90">
        <v>11200000000</v>
      </c>
    </row>
    <row r="14" spans="1:19" ht="21.75" customHeight="1" x14ac:dyDescent="0.2">
      <c r="A14" s="86" t="s">
        <v>21</v>
      </c>
      <c r="C14" s="49" t="s">
        <v>199</v>
      </c>
      <c r="E14" s="90">
        <v>5000000</v>
      </c>
      <c r="G14" s="90">
        <v>1810</v>
      </c>
      <c r="I14" s="91" t="s">
        <v>215</v>
      </c>
      <c r="K14" s="97">
        <v>0</v>
      </c>
      <c r="M14" s="90" t="s">
        <v>215</v>
      </c>
      <c r="O14" s="90">
        <v>9050000000</v>
      </c>
      <c r="Q14" s="90">
        <v>1142758827</v>
      </c>
      <c r="S14" s="90">
        <v>7907241173</v>
      </c>
    </row>
    <row r="15" spans="1:19" ht="21.75" customHeight="1" thickBot="1" x14ac:dyDescent="0.25">
      <c r="A15" s="84"/>
      <c r="C15" s="89"/>
      <c r="E15" s="38">
        <f>SUM(E8:E14)</f>
        <v>71580615</v>
      </c>
      <c r="G15" s="38">
        <f>SUM(G8:G14)</f>
        <v>7177</v>
      </c>
      <c r="I15" s="110">
        <v>3777700000</v>
      </c>
      <c r="K15" s="77">
        <v>478990670</v>
      </c>
      <c r="M15" s="38">
        <v>3298709330</v>
      </c>
      <c r="O15" s="38">
        <v>30996195000</v>
      </c>
      <c r="Q15" s="38">
        <v>2211962334</v>
      </c>
      <c r="S15" s="38">
        <v>28784232666</v>
      </c>
    </row>
    <row r="19" spans="5:19" x14ac:dyDescent="0.2">
      <c r="E19" s="62"/>
      <c r="G19" s="62"/>
      <c r="I19" s="62"/>
      <c r="K19" s="62"/>
      <c r="M19" s="62"/>
      <c r="O19" s="62"/>
      <c r="Q19" s="62"/>
      <c r="S19" s="62"/>
    </row>
    <row r="20" spans="5:19" x14ac:dyDescent="0.2">
      <c r="J20" s="62"/>
    </row>
    <row r="21" spans="5:19" x14ac:dyDescent="0.2">
      <c r="E21" s="62"/>
      <c r="G21" s="62"/>
      <c r="I21" s="62"/>
      <c r="K21" s="62"/>
      <c r="M21" s="62"/>
      <c r="O21" s="62"/>
      <c r="Q21" s="62"/>
      <c r="S21" s="62"/>
    </row>
  </sheetData>
  <sheetProtection algorithmName="SHA-512" hashValue="Ix4TH3X71R7LEKncI3FR3k8rX/ptsOikhUQiYCqQDGaaf7JJSjtkzjueLZ/JWncQRLDuRQpS4zfI6+Y+kfZs6w==" saltValue="/l+0l17K8qYW76LVSzNWzg==" spinCount="100000" sheet="1" objects="1" scenarios="1" selectLockedCells="1" autoFilter="0" selectUnlockedCells="1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8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T37"/>
  <sheetViews>
    <sheetView rightToLeft="1" view="pageBreakPreview" topLeftCell="A7" zoomScale="86" zoomScaleNormal="100" zoomScaleSheetLayoutView="86" workbookViewId="0">
      <selection activeCell="AA43" sqref="AA43"/>
    </sheetView>
  </sheetViews>
  <sheetFormatPr defaultRowHeight="12.75" x14ac:dyDescent="0.2"/>
  <cols>
    <col min="1" max="1" width="27.85546875" customWidth="1"/>
    <col min="2" max="2" width="0.7109375" customWidth="1"/>
    <col min="3" max="3" width="14.7109375" customWidth="1"/>
    <col min="4" max="4" width="0.7109375" customWidth="1"/>
    <col min="5" max="5" width="14.28515625" customWidth="1"/>
    <col min="6" max="6" width="0.42578125" customWidth="1"/>
    <col min="7" max="7" width="0.5703125" hidden="1" customWidth="1"/>
    <col min="8" max="8" width="19.42578125" customWidth="1"/>
    <col min="9" max="9" width="1.28515625" customWidth="1"/>
    <col min="10" max="10" width="15.7109375" customWidth="1"/>
    <col min="11" max="11" width="1.28515625" customWidth="1"/>
    <col min="12" max="12" width="13.5703125" bestFit="1" customWidth="1"/>
    <col min="13" max="13" width="1.28515625" customWidth="1"/>
    <col min="14" max="14" width="15.5703125" customWidth="1"/>
    <col min="15" max="15" width="1.28515625" customWidth="1"/>
    <col min="16" max="16" width="17.7109375" customWidth="1"/>
    <col min="17" max="17" width="1.28515625" customWidth="1"/>
    <col min="18" max="18" width="12.7109375" bestFit="1" customWidth="1"/>
    <col min="19" max="19" width="1.28515625" customWidth="1"/>
    <col min="20" max="20" width="19.5703125" customWidth="1"/>
    <col min="21" max="21" width="0.28515625" customWidth="1"/>
  </cols>
  <sheetData>
    <row r="1" spans="1:20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0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spans="1:20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0" ht="14.45" customHeight="1" x14ac:dyDescent="0.2"/>
    <row r="5" spans="1:20" ht="18" customHeight="1" x14ac:dyDescent="0.2">
      <c r="A5" s="202" t="s">
        <v>201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1:20" ht="14.45" customHeight="1" x14ac:dyDescent="0.2">
      <c r="A6" s="183" t="s">
        <v>146</v>
      </c>
      <c r="J6" s="183" t="s">
        <v>162</v>
      </c>
      <c r="K6" s="183"/>
      <c r="L6" s="183"/>
      <c r="M6" s="183"/>
      <c r="N6" s="183"/>
      <c r="P6" s="183" t="s">
        <v>163</v>
      </c>
      <c r="Q6" s="183"/>
      <c r="R6" s="183"/>
      <c r="S6" s="183"/>
      <c r="T6" s="183"/>
    </row>
    <row r="7" spans="1:20" ht="29.1" customHeight="1" x14ac:dyDescent="0.2">
      <c r="A7" s="183"/>
      <c r="C7" s="111" t="s">
        <v>202</v>
      </c>
      <c r="E7" s="181" t="s">
        <v>70</v>
      </c>
      <c r="F7" s="181"/>
      <c r="H7" s="93" t="s">
        <v>203</v>
      </c>
      <c r="J7" s="74" t="s">
        <v>204</v>
      </c>
      <c r="K7" s="2"/>
      <c r="L7" s="74" t="s">
        <v>195</v>
      </c>
      <c r="M7" s="2"/>
      <c r="N7" s="74" t="s">
        <v>205</v>
      </c>
      <c r="P7" s="74" t="s">
        <v>204</v>
      </c>
      <c r="Q7" s="2"/>
      <c r="R7" s="74" t="s">
        <v>195</v>
      </c>
      <c r="S7" s="2"/>
      <c r="T7" s="74" t="s">
        <v>205</v>
      </c>
    </row>
    <row r="8" spans="1:20" ht="21.75" customHeight="1" x14ac:dyDescent="0.2">
      <c r="A8" s="87" t="s">
        <v>106</v>
      </c>
      <c r="C8" s="112" t="s">
        <v>215</v>
      </c>
      <c r="E8" s="47" t="s">
        <v>108</v>
      </c>
      <c r="F8" s="2"/>
      <c r="H8" s="90">
        <v>23</v>
      </c>
      <c r="J8" s="90">
        <v>37712616477</v>
      </c>
      <c r="L8" s="88" t="s">
        <v>215</v>
      </c>
      <c r="N8" s="90">
        <v>37712616477</v>
      </c>
      <c r="P8" s="90">
        <v>38900574771</v>
      </c>
      <c r="R8" s="88" t="s">
        <v>215</v>
      </c>
      <c r="T8" s="90">
        <v>38900574771</v>
      </c>
    </row>
    <row r="9" spans="1:20" ht="21.75" customHeight="1" x14ac:dyDescent="0.2">
      <c r="A9" s="87" t="s">
        <v>112</v>
      </c>
      <c r="C9" s="11" t="s">
        <v>215</v>
      </c>
      <c r="E9" s="47" t="s">
        <v>114</v>
      </c>
      <c r="H9" s="90">
        <v>23</v>
      </c>
      <c r="J9" s="90">
        <v>19687949234</v>
      </c>
      <c r="L9" s="85" t="s">
        <v>215</v>
      </c>
      <c r="N9" s="90">
        <v>19687949234</v>
      </c>
      <c r="P9" s="90">
        <v>62723400047</v>
      </c>
      <c r="R9" s="85" t="s">
        <v>215</v>
      </c>
      <c r="T9" s="90">
        <v>62723400047</v>
      </c>
    </row>
    <row r="10" spans="1:20" ht="21.75" customHeight="1" x14ac:dyDescent="0.2">
      <c r="A10" s="87" t="s">
        <v>176</v>
      </c>
      <c r="C10" s="11" t="s">
        <v>215</v>
      </c>
      <c r="E10" s="47" t="s">
        <v>206</v>
      </c>
      <c r="H10" s="90">
        <v>23</v>
      </c>
      <c r="J10" s="90" t="s">
        <v>215</v>
      </c>
      <c r="L10" s="85" t="s">
        <v>215</v>
      </c>
      <c r="N10" s="90" t="s">
        <v>215</v>
      </c>
      <c r="P10" s="90">
        <v>6670374537</v>
      </c>
      <c r="R10" s="85" t="s">
        <v>215</v>
      </c>
      <c r="T10" s="90">
        <v>6670374537</v>
      </c>
    </row>
    <row r="11" spans="1:20" ht="21.75" customHeight="1" x14ac:dyDescent="0.2">
      <c r="A11" s="87" t="s">
        <v>103</v>
      </c>
      <c r="C11" s="11" t="s">
        <v>215</v>
      </c>
      <c r="E11" s="47" t="s">
        <v>105</v>
      </c>
      <c r="H11" s="90">
        <v>23</v>
      </c>
      <c r="J11" s="90">
        <v>36030288560</v>
      </c>
      <c r="L11" s="85" t="s">
        <v>215</v>
      </c>
      <c r="N11" s="90">
        <v>36030288560</v>
      </c>
      <c r="P11" s="90">
        <v>222820437966</v>
      </c>
      <c r="R11" s="85" t="s">
        <v>215</v>
      </c>
      <c r="T11" s="90">
        <v>222820437966</v>
      </c>
    </row>
    <row r="12" spans="1:20" ht="21.75" customHeight="1" x14ac:dyDescent="0.2">
      <c r="A12" s="87" t="s">
        <v>109</v>
      </c>
      <c r="C12" s="11" t="s">
        <v>215</v>
      </c>
      <c r="E12" s="47" t="s">
        <v>111</v>
      </c>
      <c r="H12" s="90">
        <v>20.5</v>
      </c>
      <c r="J12" s="90">
        <v>35392423831</v>
      </c>
      <c r="L12" s="85" t="s">
        <v>215</v>
      </c>
      <c r="N12" s="90">
        <v>35392423831</v>
      </c>
      <c r="P12" s="90">
        <v>216864887699</v>
      </c>
      <c r="R12" s="85" t="s">
        <v>215</v>
      </c>
      <c r="T12" s="90">
        <v>216864887699</v>
      </c>
    </row>
    <row r="13" spans="1:20" ht="21.75" customHeight="1" x14ac:dyDescent="0.2">
      <c r="A13" s="87" t="s">
        <v>121</v>
      </c>
      <c r="C13" s="11" t="s">
        <v>215</v>
      </c>
      <c r="E13" s="47" t="s">
        <v>123</v>
      </c>
      <c r="H13" s="90">
        <v>18</v>
      </c>
      <c r="J13" s="90">
        <v>302762344</v>
      </c>
      <c r="L13" s="85" t="s">
        <v>215</v>
      </c>
      <c r="N13" s="90">
        <v>302762344</v>
      </c>
      <c r="P13" s="90">
        <v>1814344099</v>
      </c>
      <c r="R13" s="85" t="s">
        <v>215</v>
      </c>
      <c r="T13" s="90">
        <v>1814344099</v>
      </c>
    </row>
    <row r="14" spans="1:20" ht="21.75" customHeight="1" x14ac:dyDescent="0.2">
      <c r="A14" s="87" t="s">
        <v>177</v>
      </c>
      <c r="C14" s="11" t="s">
        <v>215</v>
      </c>
      <c r="E14" s="47" t="s">
        <v>207</v>
      </c>
      <c r="H14" s="90">
        <v>17</v>
      </c>
      <c r="J14" s="90" t="s">
        <v>215</v>
      </c>
      <c r="L14" s="85" t="s">
        <v>215</v>
      </c>
      <c r="N14" s="90" t="s">
        <v>215</v>
      </c>
      <c r="P14" s="90">
        <v>12161930498</v>
      </c>
      <c r="R14" s="85" t="s">
        <v>215</v>
      </c>
      <c r="T14" s="90">
        <v>12161930498</v>
      </c>
    </row>
    <row r="15" spans="1:20" ht="21.75" customHeight="1" x14ac:dyDescent="0.2">
      <c r="A15" s="87" t="s">
        <v>118</v>
      </c>
      <c r="C15" s="11" t="s">
        <v>215</v>
      </c>
      <c r="E15" s="47" t="s">
        <v>120</v>
      </c>
      <c r="H15" s="90">
        <v>18</v>
      </c>
      <c r="J15" s="90">
        <v>14844077</v>
      </c>
      <c r="L15" s="85" t="s">
        <v>215</v>
      </c>
      <c r="N15" s="90">
        <v>14844077</v>
      </c>
      <c r="P15" s="90">
        <v>90694733</v>
      </c>
      <c r="R15" s="85" t="s">
        <v>215</v>
      </c>
      <c r="T15" s="90">
        <v>90694733</v>
      </c>
    </row>
    <row r="16" spans="1:20" ht="21.75" customHeight="1" x14ac:dyDescent="0.2">
      <c r="A16" s="87" t="s">
        <v>115</v>
      </c>
      <c r="C16" s="11" t="s">
        <v>215</v>
      </c>
      <c r="E16" s="47" t="s">
        <v>117</v>
      </c>
      <c r="H16" s="90">
        <v>18</v>
      </c>
      <c r="J16" s="90">
        <v>55822573125</v>
      </c>
      <c r="L16" s="85" t="s">
        <v>215</v>
      </c>
      <c r="N16" s="90">
        <v>55822573125</v>
      </c>
      <c r="P16" s="90">
        <v>165996501250</v>
      </c>
      <c r="R16" s="85" t="s">
        <v>215</v>
      </c>
      <c r="T16" s="90">
        <v>165996501250</v>
      </c>
    </row>
    <row r="17" spans="1:20" ht="21.75" customHeight="1" x14ac:dyDescent="0.2">
      <c r="A17" s="87" t="s">
        <v>100</v>
      </c>
      <c r="C17" s="11" t="s">
        <v>215</v>
      </c>
      <c r="E17" s="47" t="s">
        <v>102</v>
      </c>
      <c r="H17" s="90">
        <v>18</v>
      </c>
      <c r="J17" s="90">
        <v>51819495905</v>
      </c>
      <c r="L17" s="85" t="s">
        <v>215</v>
      </c>
      <c r="N17" s="90">
        <v>51819495905</v>
      </c>
      <c r="P17" s="90">
        <v>242941258142</v>
      </c>
      <c r="R17" s="85" t="s">
        <v>215</v>
      </c>
      <c r="T17" s="90">
        <v>242941258142</v>
      </c>
    </row>
    <row r="18" spans="1:20" ht="21.75" customHeight="1" x14ac:dyDescent="0.2">
      <c r="A18" s="87" t="s">
        <v>98</v>
      </c>
      <c r="C18" s="11" t="s">
        <v>215</v>
      </c>
      <c r="E18" s="47" t="s">
        <v>40</v>
      </c>
      <c r="H18" s="90">
        <v>16</v>
      </c>
      <c r="J18" s="90">
        <v>19943353942</v>
      </c>
      <c r="L18" s="85" t="s">
        <v>215</v>
      </c>
      <c r="N18" s="90">
        <v>19943353942</v>
      </c>
      <c r="P18" s="90">
        <v>118599359743</v>
      </c>
      <c r="R18" s="85" t="s">
        <v>215</v>
      </c>
      <c r="T18" s="90">
        <v>118599359743</v>
      </c>
    </row>
    <row r="19" spans="1:20" ht="21.75" customHeight="1" x14ac:dyDescent="0.2">
      <c r="A19" s="138" t="s">
        <v>223</v>
      </c>
      <c r="C19" s="47" t="s">
        <v>243</v>
      </c>
      <c r="E19" s="47" t="s">
        <v>242</v>
      </c>
      <c r="H19" s="139">
        <v>5</v>
      </c>
      <c r="J19" s="139">
        <v>506825</v>
      </c>
      <c r="L19" s="137" t="s">
        <v>215</v>
      </c>
      <c r="N19" s="139">
        <v>506825</v>
      </c>
      <c r="P19" s="139">
        <v>3351509</v>
      </c>
      <c r="R19" s="137" t="s">
        <v>215</v>
      </c>
      <c r="T19" s="139">
        <v>3351509</v>
      </c>
    </row>
    <row r="20" spans="1:20" ht="21.75" customHeight="1" x14ac:dyDescent="0.2">
      <c r="A20" s="138" t="s">
        <v>223</v>
      </c>
      <c r="C20" s="47" t="s">
        <v>243</v>
      </c>
      <c r="E20" s="47" t="s">
        <v>243</v>
      </c>
      <c r="H20" s="136" t="s">
        <v>240</v>
      </c>
      <c r="J20" s="127">
        <v>19095491782</v>
      </c>
      <c r="L20" s="135">
        <v>-108656645</v>
      </c>
      <c r="N20" s="127">
        <v>19204148427</v>
      </c>
      <c r="P20" s="127">
        <v>161078576403</v>
      </c>
      <c r="R20" s="125">
        <v>4896215</v>
      </c>
      <c r="T20" s="127">
        <v>161073680188</v>
      </c>
    </row>
    <row r="21" spans="1:20" ht="21.75" customHeight="1" x14ac:dyDescent="0.2">
      <c r="A21" s="126" t="s">
        <v>238</v>
      </c>
      <c r="C21" s="47" t="s">
        <v>243</v>
      </c>
      <c r="E21" s="47" t="s">
        <v>242</v>
      </c>
      <c r="H21" s="136" t="s">
        <v>241</v>
      </c>
      <c r="J21" s="127">
        <v>64319</v>
      </c>
      <c r="L21" s="125" t="s">
        <v>215</v>
      </c>
      <c r="N21" s="127">
        <v>64319</v>
      </c>
      <c r="P21" s="127">
        <v>141487</v>
      </c>
      <c r="R21" s="125" t="s">
        <v>215</v>
      </c>
      <c r="T21" s="127">
        <v>141487</v>
      </c>
    </row>
    <row r="22" spans="1:20" ht="21.75" customHeight="1" x14ac:dyDescent="0.2">
      <c r="A22" s="126" t="s">
        <v>229</v>
      </c>
      <c r="C22" s="47" t="s">
        <v>243</v>
      </c>
      <c r="E22" s="47" t="s">
        <v>243</v>
      </c>
      <c r="H22" s="136" t="s">
        <v>240</v>
      </c>
      <c r="J22" s="127">
        <v>39980556938</v>
      </c>
      <c r="L22" s="125">
        <v>212657231</v>
      </c>
      <c r="N22" s="127">
        <v>39767899707</v>
      </c>
      <c r="P22" s="127">
        <v>190632026913</v>
      </c>
      <c r="R22" s="125">
        <v>374718418</v>
      </c>
      <c r="T22" s="127">
        <v>190257308495</v>
      </c>
    </row>
    <row r="23" spans="1:20" ht="21.75" customHeight="1" x14ac:dyDescent="0.2">
      <c r="A23" s="138" t="s">
        <v>229</v>
      </c>
      <c r="C23" s="47" t="s">
        <v>243</v>
      </c>
      <c r="E23" s="47" t="s">
        <v>242</v>
      </c>
      <c r="H23" s="136" t="s">
        <v>241</v>
      </c>
      <c r="J23" s="139">
        <v>4513</v>
      </c>
      <c r="L23" s="137" t="s">
        <v>215</v>
      </c>
      <c r="N23" s="139">
        <v>4513</v>
      </c>
      <c r="P23" s="139">
        <v>729063</v>
      </c>
      <c r="R23" s="137" t="s">
        <v>215</v>
      </c>
      <c r="T23" s="139">
        <v>729063</v>
      </c>
    </row>
    <row r="24" spans="1:20" ht="21.75" customHeight="1" x14ac:dyDescent="0.2">
      <c r="A24" s="138" t="s">
        <v>230</v>
      </c>
      <c r="C24" s="47" t="s">
        <v>243</v>
      </c>
      <c r="E24" s="47" t="s">
        <v>243</v>
      </c>
      <c r="H24" s="136" t="s">
        <v>240</v>
      </c>
      <c r="J24" s="127">
        <v>11314754046</v>
      </c>
      <c r="L24" s="125">
        <v>55338247</v>
      </c>
      <c r="N24" s="127">
        <v>11259415799</v>
      </c>
      <c r="P24" s="127">
        <v>20443169327</v>
      </c>
      <c r="R24" s="125">
        <v>105441530</v>
      </c>
      <c r="T24" s="127">
        <v>20337727797</v>
      </c>
    </row>
    <row r="25" spans="1:20" ht="21.75" customHeight="1" x14ac:dyDescent="0.2">
      <c r="A25" s="126" t="s">
        <v>230</v>
      </c>
      <c r="C25" s="47" t="s">
        <v>243</v>
      </c>
      <c r="E25" s="47" t="s">
        <v>242</v>
      </c>
      <c r="H25" s="136" t="s">
        <v>241</v>
      </c>
      <c r="J25" s="139">
        <v>2613821</v>
      </c>
      <c r="L25" s="137" t="s">
        <v>215</v>
      </c>
      <c r="N25" s="139">
        <v>2613821</v>
      </c>
      <c r="P25" s="139">
        <v>5705796</v>
      </c>
      <c r="R25" s="137" t="s">
        <v>215</v>
      </c>
      <c r="T25" s="139">
        <v>5705796</v>
      </c>
    </row>
    <row r="26" spans="1:20" ht="21.75" customHeight="1" x14ac:dyDescent="0.2">
      <c r="A26" s="126" t="s">
        <v>227</v>
      </c>
      <c r="C26" s="47" t="s">
        <v>243</v>
      </c>
      <c r="E26" s="47" t="s">
        <v>242</v>
      </c>
      <c r="H26" s="136" t="s">
        <v>241</v>
      </c>
      <c r="J26" s="127">
        <v>6267</v>
      </c>
      <c r="L26" s="125" t="s">
        <v>215</v>
      </c>
      <c r="N26" s="127">
        <v>6267</v>
      </c>
      <c r="P26" s="127">
        <v>42853</v>
      </c>
      <c r="R26" s="125" t="s">
        <v>215</v>
      </c>
      <c r="T26" s="127">
        <v>42853</v>
      </c>
    </row>
    <row r="27" spans="1:20" ht="21.75" customHeight="1" x14ac:dyDescent="0.2">
      <c r="A27" s="126" t="s">
        <v>231</v>
      </c>
      <c r="C27" s="47" t="s">
        <v>243</v>
      </c>
      <c r="E27" s="47" t="s">
        <v>242</v>
      </c>
      <c r="H27" s="136" t="s">
        <v>241</v>
      </c>
      <c r="J27" s="127">
        <v>3459</v>
      </c>
      <c r="L27" s="125" t="s">
        <v>215</v>
      </c>
      <c r="N27" s="127">
        <v>3459</v>
      </c>
      <c r="P27" s="127">
        <v>6393456296</v>
      </c>
      <c r="R27" s="125" t="s">
        <v>215</v>
      </c>
      <c r="T27" s="127">
        <v>6393456296</v>
      </c>
    </row>
    <row r="28" spans="1:20" ht="21.75" customHeight="1" x14ac:dyDescent="0.2">
      <c r="C28" s="89"/>
      <c r="E28" s="89"/>
      <c r="H28" s="89"/>
      <c r="J28" s="38">
        <f>SUM(J8:J27)</f>
        <v>327120309465</v>
      </c>
      <c r="L28" s="73">
        <f>SUM(L20:L27)</f>
        <v>159338833</v>
      </c>
      <c r="N28" s="38">
        <f>SUM(N8:N27)</f>
        <v>326960970632</v>
      </c>
      <c r="P28" s="38">
        <f>SUM(P8:P27)</f>
        <v>1468140963132</v>
      </c>
      <c r="R28" s="73">
        <f>SUM(R20:R27)</f>
        <v>485056163</v>
      </c>
      <c r="T28" s="38">
        <f>SUM(T8:T27)</f>
        <v>1467655906969</v>
      </c>
    </row>
    <row r="29" spans="1:20" ht="21" x14ac:dyDescent="0.2">
      <c r="A29" s="84"/>
      <c r="L29" s="62"/>
    </row>
    <row r="30" spans="1:20" x14ac:dyDescent="0.2">
      <c r="J30" s="62"/>
      <c r="N30" s="62"/>
      <c r="P30" s="62"/>
      <c r="T30" s="62"/>
    </row>
    <row r="31" spans="1:20" x14ac:dyDescent="0.2"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x14ac:dyDescent="0.2">
      <c r="N32" s="62"/>
    </row>
    <row r="33" spans="10:20" x14ac:dyDescent="0.2">
      <c r="J33" s="62"/>
      <c r="N33" s="62"/>
      <c r="P33" s="62"/>
      <c r="T33" s="62"/>
    </row>
    <row r="35" spans="10:20" x14ac:dyDescent="0.2">
      <c r="J35" s="62"/>
      <c r="L35" s="62"/>
      <c r="N35" s="62"/>
      <c r="P35" s="62"/>
      <c r="T35" s="62"/>
    </row>
    <row r="37" spans="10:20" x14ac:dyDescent="0.2">
      <c r="J37" s="62"/>
      <c r="N37" s="62"/>
      <c r="P37" s="62"/>
      <c r="R37" s="62"/>
      <c r="T37" s="62"/>
    </row>
  </sheetData>
  <sheetProtection algorithmName="SHA-512" hashValue="WWaN89NpYCi6B5gud1nmO2UXcJOimT1EFcjtNBojEtPkp3rES/FUkQSvdLNF2Zv1NL52RCd0USedPkAZpbwxfg==" saltValue="VDuR8E1wbfgx4RgEvKJxoA==" spinCount="100000" sheet="1" objects="1" scenarios="1" selectLockedCells="1" autoFilter="0" selectUnlockedCells="1"/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M46"/>
  <sheetViews>
    <sheetView rightToLeft="1" zoomScaleNormal="100" workbookViewId="0">
      <selection activeCell="M8" sqref="M8:M13"/>
    </sheetView>
  </sheetViews>
  <sheetFormatPr defaultRowHeight="12.75" x14ac:dyDescent="0.2"/>
  <cols>
    <col min="1" max="1" width="18.28515625" customWidth="1"/>
    <col min="2" max="2" width="1.28515625" customWidth="1"/>
    <col min="3" max="3" width="15" bestFit="1" customWidth="1"/>
    <col min="4" max="4" width="1.28515625" customWidth="1"/>
    <col min="5" max="5" width="13.140625" bestFit="1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2.140625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13" ht="29.1" customHeight="1" x14ac:dyDescent="0.2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1.75" customHeight="1" x14ac:dyDescent="0.2">
      <c r="A2" s="171" t="s">
        <v>143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21.75" customHeight="1" x14ac:dyDescent="0.2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ht="14.45" customHeight="1" x14ac:dyDescent="0.2"/>
    <row r="5" spans="1:13" ht="19.5" customHeight="1" x14ac:dyDescent="0.2">
      <c r="A5" s="202" t="s">
        <v>208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14.45" customHeight="1" x14ac:dyDescent="0.2">
      <c r="A6" s="187" t="s">
        <v>146</v>
      </c>
      <c r="C6" s="187" t="s">
        <v>162</v>
      </c>
      <c r="D6" s="187"/>
      <c r="E6" s="187"/>
      <c r="F6" s="187"/>
      <c r="G6" s="187"/>
      <c r="I6" s="187" t="s">
        <v>163</v>
      </c>
      <c r="J6" s="187"/>
      <c r="K6" s="187"/>
      <c r="L6" s="187"/>
      <c r="M6" s="187"/>
    </row>
    <row r="7" spans="1:13" ht="29.1" customHeight="1" x14ac:dyDescent="0.2">
      <c r="A7" s="187"/>
      <c r="C7" s="5" t="s">
        <v>204</v>
      </c>
      <c r="D7" s="2"/>
      <c r="E7" s="5" t="s">
        <v>195</v>
      </c>
      <c r="F7" s="2"/>
      <c r="G7" s="5" t="s">
        <v>205</v>
      </c>
      <c r="I7" s="5" t="s">
        <v>204</v>
      </c>
      <c r="J7" s="2"/>
      <c r="K7" s="5" t="s">
        <v>195</v>
      </c>
      <c r="L7" s="2"/>
      <c r="M7" s="5" t="s">
        <v>205</v>
      </c>
    </row>
    <row r="8" spans="1:13" ht="21.75" customHeight="1" x14ac:dyDescent="0.2">
      <c r="A8" s="94" t="s">
        <v>223</v>
      </c>
      <c r="B8" s="113"/>
      <c r="C8" s="66">
        <v>19095998607</v>
      </c>
      <c r="D8" s="113"/>
      <c r="E8" s="115">
        <f>-108656645</f>
        <v>-108656645</v>
      </c>
      <c r="F8" s="113"/>
      <c r="G8" s="66">
        <v>19204655252</v>
      </c>
      <c r="H8" s="113"/>
      <c r="I8" s="66">
        <v>161081927912</v>
      </c>
      <c r="J8" s="113"/>
      <c r="K8" s="67">
        <v>4896215</v>
      </c>
      <c r="L8" s="113"/>
      <c r="M8" s="65">
        <v>161077031697</v>
      </c>
    </row>
    <row r="9" spans="1:13" ht="21.75" customHeight="1" x14ac:dyDescent="0.2">
      <c r="A9" s="94" t="s">
        <v>238</v>
      </c>
      <c r="B9" s="113"/>
      <c r="C9" s="66">
        <v>64319</v>
      </c>
      <c r="D9" s="113"/>
      <c r="E9" s="67" t="s">
        <v>215</v>
      </c>
      <c r="F9" s="113"/>
      <c r="G9" s="66">
        <v>64319</v>
      </c>
      <c r="H9" s="113"/>
      <c r="I9" s="66">
        <v>141487</v>
      </c>
      <c r="J9" s="113"/>
      <c r="K9" s="67" t="s">
        <v>215</v>
      </c>
      <c r="L9" s="113"/>
      <c r="M9" s="66">
        <v>141487</v>
      </c>
    </row>
    <row r="10" spans="1:13" ht="21.75" customHeight="1" x14ac:dyDescent="0.2">
      <c r="A10" s="94" t="s">
        <v>229</v>
      </c>
      <c r="B10" s="113"/>
      <c r="C10" s="66">
        <v>39980561451</v>
      </c>
      <c r="D10" s="113"/>
      <c r="E10" s="115">
        <v>212657231</v>
      </c>
      <c r="F10" s="113"/>
      <c r="G10" s="66">
        <v>39767904220</v>
      </c>
      <c r="H10" s="113"/>
      <c r="I10" s="66">
        <v>190632755976</v>
      </c>
      <c r="J10" s="113"/>
      <c r="K10" s="67">
        <v>374718418</v>
      </c>
      <c r="L10" s="113"/>
      <c r="M10" s="66">
        <v>190258037558</v>
      </c>
    </row>
    <row r="11" spans="1:13" ht="21.75" customHeight="1" x14ac:dyDescent="0.2">
      <c r="A11" s="94" t="s">
        <v>230</v>
      </c>
      <c r="B11" s="113"/>
      <c r="C11" s="66">
        <v>11317367867</v>
      </c>
      <c r="D11" s="113"/>
      <c r="E11" s="67">
        <v>55338247</v>
      </c>
      <c r="F11" s="113"/>
      <c r="G11" s="66">
        <v>11262029620</v>
      </c>
      <c r="H11" s="113"/>
      <c r="I11" s="66">
        <v>20448875123</v>
      </c>
      <c r="J11" s="113"/>
      <c r="K11" s="67">
        <v>105441530</v>
      </c>
      <c r="L11" s="113"/>
      <c r="M11" s="67">
        <v>20343433593</v>
      </c>
    </row>
    <row r="12" spans="1:13" ht="21.75" customHeight="1" x14ac:dyDescent="0.2">
      <c r="A12" s="94" t="s">
        <v>227</v>
      </c>
      <c r="B12" s="113"/>
      <c r="C12" s="66">
        <v>6267</v>
      </c>
      <c r="D12" s="113"/>
      <c r="E12" s="67" t="s">
        <v>215</v>
      </c>
      <c r="F12" s="113"/>
      <c r="G12" s="66">
        <v>6267</v>
      </c>
      <c r="H12" s="113"/>
      <c r="I12" s="66">
        <v>42853</v>
      </c>
      <c r="J12" s="113"/>
      <c r="K12" s="116" t="s">
        <v>215</v>
      </c>
      <c r="L12" s="113"/>
      <c r="M12" s="67">
        <v>42853</v>
      </c>
    </row>
    <row r="13" spans="1:13" ht="21.75" customHeight="1" x14ac:dyDescent="0.2">
      <c r="A13" s="94" t="s">
        <v>231</v>
      </c>
      <c r="B13" s="113"/>
      <c r="C13" s="66">
        <v>3459</v>
      </c>
      <c r="D13" s="113"/>
      <c r="E13" s="115" t="s">
        <v>215</v>
      </c>
      <c r="F13" s="113"/>
      <c r="G13" s="66">
        <v>3459</v>
      </c>
      <c r="H13" s="113"/>
      <c r="I13" s="66">
        <v>6393456296</v>
      </c>
      <c r="J13" s="113"/>
      <c r="K13" s="116" t="s">
        <v>215</v>
      </c>
      <c r="L13" s="113"/>
      <c r="M13" s="66">
        <v>6393456296</v>
      </c>
    </row>
    <row r="14" spans="1:13" ht="21.75" customHeight="1" thickBot="1" x14ac:dyDescent="0.25">
      <c r="A14" s="114"/>
      <c r="B14" s="113"/>
      <c r="C14" s="117">
        <f>SUM(C8:C13)</f>
        <v>70394001970</v>
      </c>
      <c r="D14" s="113"/>
      <c r="E14" s="117">
        <f>SUM(E8:E13)</f>
        <v>159338833</v>
      </c>
      <c r="F14" s="113"/>
      <c r="G14" s="117">
        <f>SUM(G8:G13)</f>
        <v>70234663137</v>
      </c>
      <c r="H14" s="113"/>
      <c r="I14" s="117">
        <f>SUM(I8:I13)</f>
        <v>378557199647</v>
      </c>
      <c r="J14" s="113"/>
      <c r="K14" s="117">
        <f>SUM(K8:K13)</f>
        <v>485056163</v>
      </c>
      <c r="L14" s="113"/>
      <c r="M14" s="117">
        <f>SUM(M8:M13)</f>
        <v>378072143484</v>
      </c>
    </row>
    <row r="15" spans="1:13" ht="21.75" customHeight="1" thickTop="1" x14ac:dyDescent="0.2"/>
    <row r="16" spans="1:13" ht="21.75" customHeight="1" x14ac:dyDescent="0.2"/>
    <row r="17" spans="3:13" ht="21.75" customHeight="1" x14ac:dyDescent="0.2">
      <c r="C17" s="62"/>
      <c r="E17" s="62"/>
      <c r="G17" s="62"/>
      <c r="I17" s="62"/>
      <c r="K17" s="62"/>
      <c r="M17" s="62"/>
    </row>
    <row r="18" spans="3:13" ht="21.75" customHeight="1" x14ac:dyDescent="0.2"/>
    <row r="19" spans="3:13" ht="21.75" customHeight="1" x14ac:dyDescent="0.2"/>
    <row r="20" spans="3:13" ht="21.75" customHeight="1" x14ac:dyDescent="0.2"/>
    <row r="21" spans="3:13" ht="21.75" customHeight="1" x14ac:dyDescent="0.2"/>
    <row r="22" spans="3:13" ht="21.75" customHeight="1" x14ac:dyDescent="0.2"/>
    <row r="23" spans="3:13" ht="21.75" customHeight="1" x14ac:dyDescent="0.2"/>
    <row r="24" spans="3:13" ht="21.75" customHeight="1" x14ac:dyDescent="0.2"/>
    <row r="25" spans="3:13" ht="21.75" customHeight="1" x14ac:dyDescent="0.2"/>
    <row r="26" spans="3:13" ht="21.75" customHeight="1" x14ac:dyDescent="0.2"/>
    <row r="27" spans="3:13" ht="21.75" customHeight="1" x14ac:dyDescent="0.2"/>
    <row r="28" spans="3:13" ht="21.75" customHeight="1" x14ac:dyDescent="0.2"/>
    <row r="29" spans="3:13" ht="21.75" customHeight="1" x14ac:dyDescent="0.2"/>
    <row r="30" spans="3:13" ht="21.75" customHeight="1" x14ac:dyDescent="0.2"/>
    <row r="31" spans="3:13" ht="21.75" customHeight="1" x14ac:dyDescent="0.2"/>
    <row r="32" spans="3:13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</sheetData>
  <sheetProtection algorithmName="SHA-512" hashValue="0O4QrHhJNNPajpcZj2dsHlny+808nz7T0yZSxQauMfih7wqi210GrdvJcndMi6NZz4vs4MBO+YhzJmq8zjw7LA==" saltValue="JkLo+F0ar7agLLDynqZOAw==" spinCount="100000" sheet="1" objects="1" scenarios="1" selectLockedCells="1" autoFilter="0" selectUnlockedCells="1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R18"/>
  <sheetViews>
    <sheetView rightToLeft="1" view="pageBreakPreview" zoomScale="60" zoomScaleNormal="100" workbookViewId="0">
      <selection activeCell="I22" sqref="I22:I23"/>
    </sheetView>
  </sheetViews>
  <sheetFormatPr defaultRowHeight="12.75" x14ac:dyDescent="0.2"/>
  <cols>
    <col min="1" max="1" width="30.28515625" customWidth="1"/>
    <col min="2" max="2" width="1.28515625" customWidth="1"/>
    <col min="3" max="3" width="10.42578125" customWidth="1"/>
    <col min="4" max="4" width="1.28515625" customWidth="1"/>
    <col min="5" max="5" width="15.85546875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1.7109375" customWidth="1"/>
    <col min="12" max="12" width="1.28515625" customWidth="1"/>
    <col min="13" max="13" width="18" customWidth="1"/>
    <col min="14" max="14" width="1.28515625" customWidth="1"/>
    <col min="15" max="15" width="17.85546875" customWidth="1"/>
    <col min="16" max="16" width="1.28515625" customWidth="1"/>
    <col min="17" max="17" width="14.7109375" customWidth="1"/>
    <col min="18" max="18" width="1.28515625" customWidth="1"/>
    <col min="19" max="19" width="0.28515625" customWidth="1"/>
  </cols>
  <sheetData>
    <row r="1" spans="1:18" ht="29.1" customHeight="1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18"/>
    </row>
    <row r="2" spans="1:18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ht="14.45" customHeight="1" x14ac:dyDescent="0.2"/>
    <row r="5" spans="1:18" ht="20.25" customHeight="1" x14ac:dyDescent="0.2">
      <c r="A5" s="195" t="s">
        <v>209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18" ht="14.45" customHeight="1" x14ac:dyDescent="0.2">
      <c r="A6" s="183" t="s">
        <v>146</v>
      </c>
      <c r="C6" s="187" t="s">
        <v>162</v>
      </c>
      <c r="D6" s="187"/>
      <c r="E6" s="187"/>
      <c r="F6" s="187"/>
      <c r="G6" s="187"/>
      <c r="H6" s="187"/>
      <c r="I6" s="187"/>
      <c r="K6" s="187" t="s">
        <v>163</v>
      </c>
      <c r="L6" s="187"/>
      <c r="M6" s="187"/>
      <c r="N6" s="187"/>
      <c r="O6" s="187"/>
      <c r="P6" s="187"/>
      <c r="Q6" s="187"/>
      <c r="R6" s="187"/>
    </row>
    <row r="7" spans="1:18" ht="38.25" customHeight="1" x14ac:dyDescent="0.2">
      <c r="A7" s="183"/>
      <c r="C7" s="74" t="s">
        <v>13</v>
      </c>
      <c r="D7" s="2"/>
      <c r="E7" s="74" t="s">
        <v>210</v>
      </c>
      <c r="F7" s="2"/>
      <c r="G7" s="74" t="s">
        <v>211</v>
      </c>
      <c r="H7" s="2"/>
      <c r="I7" s="74" t="s">
        <v>212</v>
      </c>
      <c r="K7" s="74" t="s">
        <v>13</v>
      </c>
      <c r="L7" s="2"/>
      <c r="M7" s="74" t="s">
        <v>210</v>
      </c>
      <c r="N7" s="2"/>
      <c r="O7" s="74" t="s">
        <v>211</v>
      </c>
      <c r="P7" s="2"/>
      <c r="Q7" s="204" t="s">
        <v>212</v>
      </c>
      <c r="R7" s="204"/>
    </row>
    <row r="8" spans="1:18" ht="21.75" customHeight="1" x14ac:dyDescent="0.2">
      <c r="A8" s="87" t="s">
        <v>60</v>
      </c>
      <c r="C8" s="90">
        <v>333087</v>
      </c>
      <c r="E8" s="90">
        <v>98210518758</v>
      </c>
      <c r="G8" s="90">
        <v>96587376504</v>
      </c>
      <c r="I8" s="90">
        <v>1623142254</v>
      </c>
      <c r="K8" s="90">
        <v>393087</v>
      </c>
      <c r="M8" s="90">
        <v>117693715427</v>
      </c>
      <c r="O8" s="92">
        <v>114375128435</v>
      </c>
      <c r="Q8" s="174">
        <v>3318586992</v>
      </c>
      <c r="R8" s="174"/>
    </row>
    <row r="9" spans="1:18" ht="21.75" customHeight="1" x14ac:dyDescent="0.2">
      <c r="A9" s="87" t="s">
        <v>168</v>
      </c>
      <c r="C9" s="90" t="s">
        <v>215</v>
      </c>
      <c r="E9" s="90" t="s">
        <v>215</v>
      </c>
      <c r="G9" s="90" t="s">
        <v>215</v>
      </c>
      <c r="I9" s="90" t="s">
        <v>215</v>
      </c>
      <c r="K9" s="90">
        <v>7000000</v>
      </c>
      <c r="M9" s="90">
        <v>94595510834</v>
      </c>
      <c r="O9" s="90">
        <v>90597717000</v>
      </c>
      <c r="Q9" s="174">
        <v>3997793834</v>
      </c>
      <c r="R9" s="174"/>
    </row>
    <row r="10" spans="1:18" ht="21.75" customHeight="1" x14ac:dyDescent="0.2">
      <c r="A10" s="87" t="s">
        <v>28</v>
      </c>
      <c r="C10" s="90" t="s">
        <v>215</v>
      </c>
      <c r="E10" s="90" t="s">
        <v>215</v>
      </c>
      <c r="G10" s="90" t="s">
        <v>215</v>
      </c>
      <c r="I10" s="90" t="s">
        <v>215</v>
      </c>
      <c r="K10" s="90">
        <v>3410691</v>
      </c>
      <c r="M10" s="90">
        <v>26794687735</v>
      </c>
      <c r="O10" s="90">
        <v>18959102216</v>
      </c>
      <c r="Q10" s="174">
        <v>7835585519</v>
      </c>
      <c r="R10" s="174"/>
    </row>
    <row r="11" spans="1:18" ht="21.75" customHeight="1" x14ac:dyDescent="0.2">
      <c r="A11" s="87" t="s">
        <v>59</v>
      </c>
      <c r="C11" s="90" t="s">
        <v>215</v>
      </c>
      <c r="E11" s="90" t="s">
        <v>215</v>
      </c>
      <c r="G11" s="90" t="s">
        <v>215</v>
      </c>
      <c r="I11" s="90" t="s">
        <v>215</v>
      </c>
      <c r="K11" s="90">
        <v>500000</v>
      </c>
      <c r="M11" s="90">
        <v>5218818790</v>
      </c>
      <c r="O11" s="90">
        <v>5005800000</v>
      </c>
      <c r="Q11" s="174">
        <v>213018790</v>
      </c>
      <c r="R11" s="174"/>
    </row>
    <row r="12" spans="1:18" ht="21.75" customHeight="1" x14ac:dyDescent="0.2">
      <c r="A12" s="87" t="s">
        <v>62</v>
      </c>
      <c r="C12" s="90" t="s">
        <v>215</v>
      </c>
      <c r="E12" s="90" t="s">
        <v>215</v>
      </c>
      <c r="G12" s="90" t="s">
        <v>215</v>
      </c>
      <c r="I12" s="90" t="s">
        <v>215</v>
      </c>
      <c r="K12" s="90">
        <v>1503331</v>
      </c>
      <c r="M12" s="90">
        <v>15540333568</v>
      </c>
      <c r="O12" s="90">
        <v>15050748640</v>
      </c>
      <c r="Q12" s="174">
        <v>489584928</v>
      </c>
      <c r="R12" s="174"/>
    </row>
    <row r="13" spans="1:18" ht="21.75" customHeight="1" x14ac:dyDescent="0.2">
      <c r="A13" s="87" t="s">
        <v>61</v>
      </c>
      <c r="C13" s="90" t="s">
        <v>215</v>
      </c>
      <c r="E13" s="90" t="s">
        <v>215</v>
      </c>
      <c r="G13" s="90" t="s">
        <v>215</v>
      </c>
      <c r="I13" s="90" t="s">
        <v>215</v>
      </c>
      <c r="K13" s="90">
        <v>907358</v>
      </c>
      <c r="M13" s="90">
        <v>14494363892</v>
      </c>
      <c r="O13" s="90">
        <v>11963659308</v>
      </c>
      <c r="Q13" s="174">
        <v>2530704584</v>
      </c>
      <c r="R13" s="174"/>
    </row>
    <row r="14" spans="1:18" ht="21.75" customHeight="1" x14ac:dyDescent="0.2">
      <c r="A14" s="87" t="s">
        <v>26</v>
      </c>
      <c r="C14" s="90" t="s">
        <v>215</v>
      </c>
      <c r="E14" s="90" t="s">
        <v>215</v>
      </c>
      <c r="G14" s="90" t="s">
        <v>215</v>
      </c>
      <c r="I14" s="90" t="s">
        <v>215</v>
      </c>
      <c r="K14" s="90">
        <v>1</v>
      </c>
      <c r="M14" s="90">
        <v>1</v>
      </c>
      <c r="O14" s="91">
        <v>7273</v>
      </c>
      <c r="Q14" s="119">
        <v>-7272</v>
      </c>
      <c r="R14" s="119"/>
    </row>
    <row r="15" spans="1:18" ht="21.75" customHeight="1" x14ac:dyDescent="0.2">
      <c r="A15" s="87" t="s">
        <v>85</v>
      </c>
      <c r="C15" s="90">
        <v>3000</v>
      </c>
      <c r="E15" s="90">
        <v>3000000000</v>
      </c>
      <c r="G15" s="91">
        <v>2657731625</v>
      </c>
      <c r="I15" s="91">
        <v>342268375</v>
      </c>
      <c r="K15" s="90">
        <v>3000</v>
      </c>
      <c r="M15" s="90">
        <v>3000000000</v>
      </c>
      <c r="O15" s="90">
        <v>2657731625</v>
      </c>
      <c r="Q15" s="174">
        <v>342268375</v>
      </c>
      <c r="R15" s="174"/>
    </row>
    <row r="16" spans="1:18" ht="21.75" customHeight="1" x14ac:dyDescent="0.2">
      <c r="A16" s="87" t="s">
        <v>176</v>
      </c>
      <c r="C16" s="90" t="s">
        <v>215</v>
      </c>
      <c r="E16" s="90" t="s">
        <v>215</v>
      </c>
      <c r="G16" s="90" t="s">
        <v>215</v>
      </c>
      <c r="I16" s="90" t="s">
        <v>215</v>
      </c>
      <c r="K16" s="90">
        <v>117500</v>
      </c>
      <c r="M16" s="90">
        <v>117483453125</v>
      </c>
      <c r="O16" s="90">
        <v>117536968750</v>
      </c>
      <c r="Q16" s="119">
        <v>-53515625</v>
      </c>
      <c r="R16" s="119"/>
    </row>
    <row r="17" spans="1:18" ht="21.75" customHeight="1" x14ac:dyDescent="0.2">
      <c r="A17" s="87" t="s">
        <v>177</v>
      </c>
      <c r="C17" s="90" t="s">
        <v>215</v>
      </c>
      <c r="E17" s="90" t="s">
        <v>215</v>
      </c>
      <c r="G17" s="90" t="s">
        <v>215</v>
      </c>
      <c r="I17" s="90" t="s">
        <v>215</v>
      </c>
      <c r="K17" s="90">
        <v>205000</v>
      </c>
      <c r="M17" s="90">
        <v>205000000000</v>
      </c>
      <c r="O17" s="90">
        <v>197126159608</v>
      </c>
      <c r="Q17" s="174">
        <v>7873840392</v>
      </c>
      <c r="R17" s="174"/>
    </row>
    <row r="18" spans="1:18" ht="21.75" customHeight="1" x14ac:dyDescent="0.2">
      <c r="A18" s="84"/>
      <c r="C18" s="38">
        <v>336087</v>
      </c>
      <c r="E18" s="120">
        <v>101210518758</v>
      </c>
      <c r="G18" s="120">
        <v>99245108129</v>
      </c>
      <c r="I18" s="120">
        <v>1965410629</v>
      </c>
      <c r="K18" s="120">
        <v>14039968</v>
      </c>
      <c r="M18" s="120">
        <v>599820883372</v>
      </c>
      <c r="O18" s="120">
        <v>573273022855</v>
      </c>
      <c r="Q18" s="203">
        <v>26547860517</v>
      </c>
      <c r="R18" s="203"/>
    </row>
  </sheetData>
  <sheetProtection algorithmName="SHA-512" hashValue="3sSghQPVbhpKJCVBxq9vmpMBd13Qh5lEW/DMYZjiCKBOjPLwz8qywO7YFGcX10GXLX7MlKnzM30AEON596jkdQ==" saltValue="X85V/fXGkRm93ay88n0uhQ==" spinCount="100000" sheet="1" objects="1" scenarios="1" selectLockedCells="1" autoFilter="0" selectUnlockedCells="1"/>
  <mergeCells count="17">
    <mergeCell ref="A1:Q1"/>
    <mergeCell ref="A2:R2"/>
    <mergeCell ref="A3:R3"/>
    <mergeCell ref="A5:R5"/>
    <mergeCell ref="A6:A7"/>
    <mergeCell ref="C6:I6"/>
    <mergeCell ref="K6:R6"/>
    <mergeCell ref="Q7:R7"/>
    <mergeCell ref="Q18:R18"/>
    <mergeCell ref="Q13:R13"/>
    <mergeCell ref="Q15:R15"/>
    <mergeCell ref="Q17:R1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9" scale="8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R40"/>
  <sheetViews>
    <sheetView rightToLeft="1" view="pageBreakPreview" zoomScale="60" zoomScaleNormal="100" workbookViewId="0">
      <selection activeCell="W5" sqref="W5"/>
    </sheetView>
  </sheetViews>
  <sheetFormatPr defaultRowHeight="12.75" x14ac:dyDescent="0.2"/>
  <cols>
    <col min="1" max="1" width="33.28515625" customWidth="1"/>
    <col min="2" max="2" width="1.28515625" customWidth="1"/>
    <col min="3" max="3" width="11.5703125" bestFit="1" customWidth="1"/>
    <col min="4" max="4" width="1.28515625" customWidth="1"/>
    <col min="5" max="5" width="19" bestFit="1" customWidth="1"/>
    <col min="6" max="6" width="1.28515625" customWidth="1"/>
    <col min="7" max="7" width="19.5703125" bestFit="1" customWidth="1"/>
    <col min="8" max="8" width="1.28515625" customWidth="1"/>
    <col min="9" max="9" width="15.5703125" customWidth="1"/>
    <col min="10" max="10" width="1.28515625" customWidth="1"/>
    <col min="11" max="11" width="11.5703125" bestFit="1" customWidth="1"/>
    <col min="12" max="12" width="1.28515625" customWidth="1"/>
    <col min="13" max="13" width="18.28515625" bestFit="1" customWidth="1"/>
    <col min="14" max="14" width="1.28515625" customWidth="1"/>
    <col min="15" max="15" width="19.4257812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</cols>
  <sheetData>
    <row r="1" spans="1:18" ht="29.1" customHeight="1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18"/>
    </row>
    <row r="2" spans="1:18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ht="14.45" customHeight="1" x14ac:dyDescent="0.2"/>
    <row r="5" spans="1:18" ht="19.5" customHeight="1" x14ac:dyDescent="0.2">
      <c r="A5" s="195" t="s">
        <v>213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18" ht="14.45" customHeight="1" x14ac:dyDescent="0.2">
      <c r="A6" s="187" t="s">
        <v>146</v>
      </c>
      <c r="C6" s="183" t="s">
        <v>162</v>
      </c>
      <c r="D6" s="183"/>
      <c r="E6" s="183"/>
      <c r="F6" s="183"/>
      <c r="G6" s="183"/>
      <c r="H6" s="183"/>
      <c r="I6" s="183"/>
      <c r="K6" s="183" t="s">
        <v>163</v>
      </c>
      <c r="L6" s="183"/>
      <c r="M6" s="183"/>
      <c r="N6" s="183"/>
      <c r="O6" s="183"/>
      <c r="P6" s="183"/>
      <c r="Q6" s="183"/>
      <c r="R6" s="183"/>
    </row>
    <row r="7" spans="1:18" ht="43.5" customHeight="1" x14ac:dyDescent="0.2">
      <c r="A7" s="187"/>
      <c r="C7" s="74" t="s">
        <v>13</v>
      </c>
      <c r="D7" s="2"/>
      <c r="E7" s="74" t="s">
        <v>15</v>
      </c>
      <c r="F7" s="2"/>
      <c r="G7" s="74" t="s">
        <v>211</v>
      </c>
      <c r="H7" s="2"/>
      <c r="I7" s="74" t="s">
        <v>214</v>
      </c>
      <c r="K7" s="74" t="s">
        <v>13</v>
      </c>
      <c r="L7" s="2"/>
      <c r="M7" s="74" t="s">
        <v>15</v>
      </c>
      <c r="N7" s="2"/>
      <c r="O7" s="74" t="s">
        <v>211</v>
      </c>
      <c r="P7" s="2"/>
      <c r="Q7" s="204" t="s">
        <v>214</v>
      </c>
      <c r="R7" s="204"/>
    </row>
    <row r="8" spans="1:18" ht="21.75" customHeight="1" x14ac:dyDescent="0.2">
      <c r="A8" s="87" t="s">
        <v>24</v>
      </c>
      <c r="C8" s="95">
        <v>32085561</v>
      </c>
      <c r="E8" s="95">
        <v>66659822496</v>
      </c>
      <c r="G8" s="95">
        <f>-65447825723</f>
        <v>-65447825723</v>
      </c>
      <c r="I8" s="95">
        <v>1211996773</v>
      </c>
      <c r="K8" s="95">
        <v>32085561</v>
      </c>
      <c r="M8" s="95">
        <v>66659822496</v>
      </c>
      <c r="O8" s="95">
        <f>-59770577683</f>
        <v>-59770577683</v>
      </c>
      <c r="Q8" s="95">
        <v>6889244813</v>
      </c>
      <c r="R8" s="95"/>
    </row>
    <row r="9" spans="1:18" ht="21.75" customHeight="1" x14ac:dyDescent="0.2">
      <c r="A9" s="87" t="s">
        <v>28</v>
      </c>
      <c r="C9" s="95">
        <v>10210000</v>
      </c>
      <c r="E9" s="95">
        <v>65361173220</v>
      </c>
      <c r="G9" s="95">
        <f>-77743258830</f>
        <v>-77743258830</v>
      </c>
      <c r="I9" s="95">
        <v>-12382085610</v>
      </c>
      <c r="K9" s="95">
        <v>10210000</v>
      </c>
      <c r="M9" s="95">
        <v>65361173220</v>
      </c>
      <c r="O9" s="95">
        <f>-56754608776</f>
        <v>-56754608776</v>
      </c>
      <c r="Q9" s="95">
        <v>8606564444</v>
      </c>
      <c r="R9" s="95"/>
    </row>
    <row r="10" spans="1:18" ht="21.75" customHeight="1" x14ac:dyDescent="0.2">
      <c r="A10" s="87" t="s">
        <v>25</v>
      </c>
      <c r="C10" s="95">
        <v>654345</v>
      </c>
      <c r="E10" s="95">
        <v>4787324123</v>
      </c>
      <c r="G10" s="95">
        <f>-4778651435</f>
        <v>-4778651435</v>
      </c>
      <c r="I10" s="95">
        <v>8672688</v>
      </c>
      <c r="K10" s="95">
        <v>654345</v>
      </c>
      <c r="M10" s="95">
        <v>4787324123</v>
      </c>
      <c r="O10" s="95">
        <f>-4754801541</f>
        <v>-4754801541</v>
      </c>
      <c r="Q10" s="95">
        <v>32522582</v>
      </c>
      <c r="R10" s="95"/>
    </row>
    <row r="11" spans="1:18" ht="21.75" customHeight="1" x14ac:dyDescent="0.2">
      <c r="A11" s="87" t="s">
        <v>59</v>
      </c>
      <c r="C11" s="95">
        <v>2000000</v>
      </c>
      <c r="E11" s="95">
        <v>19776487500</v>
      </c>
      <c r="G11" s="95">
        <f>-19976250000</f>
        <v>-19976250000</v>
      </c>
      <c r="I11" s="95">
        <v>-199762500</v>
      </c>
      <c r="K11" s="95">
        <v>2000000</v>
      </c>
      <c r="M11" s="95">
        <v>19776487500</v>
      </c>
      <c r="O11" s="95">
        <f>-20023200000</f>
        <v>-20023200000</v>
      </c>
      <c r="Q11" s="95">
        <v>-246712500</v>
      </c>
      <c r="R11" s="95"/>
    </row>
    <row r="12" spans="1:18" ht="21.75" customHeight="1" x14ac:dyDescent="0.2">
      <c r="A12" s="87" t="s">
        <v>27</v>
      </c>
      <c r="C12" s="95">
        <v>15000000</v>
      </c>
      <c r="E12" s="95">
        <v>61700683500</v>
      </c>
      <c r="G12" s="95">
        <f>-60835860000</f>
        <v>-60835860000</v>
      </c>
      <c r="I12" s="95">
        <v>864823500</v>
      </c>
      <c r="K12" s="95">
        <v>15000000</v>
      </c>
      <c r="M12" s="95">
        <v>61700683500</v>
      </c>
      <c r="O12" s="95">
        <f>-60164876250</f>
        <v>-60164876250</v>
      </c>
      <c r="Q12" s="95">
        <v>1535807250</v>
      </c>
      <c r="R12" s="95"/>
    </row>
    <row r="13" spans="1:18" ht="21.75" customHeight="1" x14ac:dyDescent="0.2">
      <c r="A13" s="87" t="s">
        <v>20</v>
      </c>
      <c r="C13" s="95">
        <v>20000000</v>
      </c>
      <c r="E13" s="95">
        <v>69185880000</v>
      </c>
      <c r="G13" s="95">
        <f>-68092425000</f>
        <v>-68092425000</v>
      </c>
      <c r="I13" s="95">
        <v>1093455000</v>
      </c>
      <c r="K13" s="95">
        <v>20000000</v>
      </c>
      <c r="M13" s="95">
        <v>69185880000</v>
      </c>
      <c r="O13" s="95">
        <f>-64374678000</f>
        <v>-64374678000</v>
      </c>
      <c r="Q13" s="95">
        <v>4811202000</v>
      </c>
      <c r="R13" s="95"/>
    </row>
    <row r="14" spans="1:18" ht="21.75" customHeight="1" x14ac:dyDescent="0.2">
      <c r="A14" s="87" t="s">
        <v>29</v>
      </c>
      <c r="C14" s="95">
        <v>5717058</v>
      </c>
      <c r="E14" s="95">
        <v>61513241249</v>
      </c>
      <c r="G14" s="95">
        <f>-60149311287</f>
        <v>-60149311287</v>
      </c>
      <c r="I14" s="95">
        <v>1363929962</v>
      </c>
      <c r="K14" s="95">
        <v>5717058</v>
      </c>
      <c r="M14" s="95">
        <v>61513241249</v>
      </c>
      <c r="O14" s="95">
        <f>-53861605200</f>
        <v>-53861605200</v>
      </c>
      <c r="Q14" s="95">
        <v>7651636049</v>
      </c>
      <c r="R14" s="95"/>
    </row>
    <row r="15" spans="1:18" ht="21.75" customHeight="1" x14ac:dyDescent="0.2">
      <c r="A15" s="87" t="s">
        <v>62</v>
      </c>
      <c r="C15" s="95">
        <v>996669</v>
      </c>
      <c r="E15" s="95">
        <v>10004628828</v>
      </c>
      <c r="G15" s="95">
        <f>-10313229319</f>
        <v>-10313229319</v>
      </c>
      <c r="I15" s="95">
        <v>-308600490</v>
      </c>
      <c r="K15" s="95">
        <v>996669</v>
      </c>
      <c r="M15" s="95">
        <v>10004628828</v>
      </c>
      <c r="O15" s="95">
        <f>-9978251360</f>
        <v>-9978251360</v>
      </c>
      <c r="Q15" s="95">
        <v>26377468</v>
      </c>
      <c r="R15" s="95"/>
    </row>
    <row r="16" spans="1:18" ht="21.75" customHeight="1" x14ac:dyDescent="0.2">
      <c r="A16" s="87" t="s">
        <v>61</v>
      </c>
      <c r="C16" s="95">
        <v>5310571</v>
      </c>
      <c r="E16" s="95">
        <v>79716796473</v>
      </c>
      <c r="G16" s="95">
        <f>-75213532103</f>
        <v>-75213532103</v>
      </c>
      <c r="I16" s="95">
        <v>4503264370</v>
      </c>
      <c r="K16" s="95">
        <v>5310571</v>
      </c>
      <c r="M16" s="95">
        <v>79716796473</v>
      </c>
      <c r="O16" s="95">
        <f>-70501918919</f>
        <v>-70501918919</v>
      </c>
      <c r="Q16" s="95">
        <v>9214877554</v>
      </c>
      <c r="R16" s="95"/>
    </row>
    <row r="17" spans="1:18" ht="21.75" customHeight="1" x14ac:dyDescent="0.2">
      <c r="A17" s="87" t="s">
        <v>26</v>
      </c>
      <c r="C17" s="95">
        <v>68564</v>
      </c>
      <c r="E17" s="95">
        <v>468232023</v>
      </c>
      <c r="G17" s="95">
        <f>-510488771</f>
        <v>-510488771</v>
      </c>
      <c r="I17" s="95">
        <v>-42256747</v>
      </c>
      <c r="K17" s="95">
        <v>68564</v>
      </c>
      <c r="M17" s="95">
        <v>468232023</v>
      </c>
      <c r="O17" s="95">
        <f>-498655424</f>
        <v>-498655424</v>
      </c>
      <c r="Q17" s="95">
        <v>-30423400</v>
      </c>
      <c r="R17" s="95"/>
    </row>
    <row r="18" spans="1:18" ht="21.75" customHeight="1" x14ac:dyDescent="0.2">
      <c r="A18" s="87" t="s">
        <v>23</v>
      </c>
      <c r="C18" s="95">
        <v>60450168</v>
      </c>
      <c r="E18" s="95">
        <v>82083608657</v>
      </c>
      <c r="G18" s="95">
        <f>-81963427678</f>
        <v>-81963427678</v>
      </c>
      <c r="I18" s="95">
        <v>120180979</v>
      </c>
      <c r="K18" s="95">
        <v>60450168</v>
      </c>
      <c r="M18" s="95">
        <v>82083608657</v>
      </c>
      <c r="O18" s="95">
        <f>-80100622504</f>
        <v>-80100622504</v>
      </c>
      <c r="Q18" s="95">
        <v>1982986153</v>
      </c>
      <c r="R18" s="95"/>
    </row>
    <row r="19" spans="1:18" ht="21.75" customHeight="1" x14ac:dyDescent="0.2">
      <c r="A19" s="87" t="s">
        <v>19</v>
      </c>
      <c r="C19" s="95">
        <v>14152500</v>
      </c>
      <c r="E19" s="95">
        <v>38575258377</v>
      </c>
      <c r="G19" s="95">
        <f>-48282380289</f>
        <v>-48282380289</v>
      </c>
      <c r="I19" s="95">
        <v>-9707121911</v>
      </c>
      <c r="K19" s="95">
        <v>14152500</v>
      </c>
      <c r="M19" s="95">
        <v>38575258377</v>
      </c>
      <c r="O19" s="95">
        <f>-65164331439</f>
        <v>-65164331439</v>
      </c>
      <c r="Q19" s="95">
        <v>-26589073061</v>
      </c>
      <c r="R19" s="95"/>
    </row>
    <row r="20" spans="1:18" ht="21.75" customHeight="1" x14ac:dyDescent="0.2">
      <c r="A20" s="87" t="s">
        <v>22</v>
      </c>
      <c r="C20" s="95">
        <v>21362500</v>
      </c>
      <c r="E20" s="95">
        <v>66254426550</v>
      </c>
      <c r="G20" s="95">
        <f>-65872189473</f>
        <v>-65872189473</v>
      </c>
      <c r="I20" s="95">
        <v>382237077</v>
      </c>
      <c r="K20" s="95">
        <v>21362500</v>
      </c>
      <c r="M20" s="95">
        <v>66254426550</v>
      </c>
      <c r="O20" s="95">
        <f>-62071054104</f>
        <v>-62071054104</v>
      </c>
      <c r="Q20" s="95">
        <v>4183372446</v>
      </c>
      <c r="R20" s="95"/>
    </row>
    <row r="21" spans="1:18" ht="21.75" customHeight="1" x14ac:dyDescent="0.2">
      <c r="A21" s="87" t="s">
        <v>21</v>
      </c>
      <c r="C21" s="95">
        <v>5000000</v>
      </c>
      <c r="E21" s="95">
        <v>75930509250</v>
      </c>
      <c r="G21" s="95">
        <f>-74543809500</f>
        <v>-74543809500</v>
      </c>
      <c r="I21" s="95">
        <v>1386699750</v>
      </c>
      <c r="K21" s="95">
        <v>5000000</v>
      </c>
      <c r="M21" s="95">
        <v>75930509250</v>
      </c>
      <c r="O21" s="95">
        <f>-76029914250</f>
        <v>-76029914250</v>
      </c>
      <c r="Q21" s="95">
        <v>-99405000</v>
      </c>
      <c r="R21" s="95"/>
    </row>
    <row r="22" spans="1:18" ht="21.75" customHeight="1" x14ac:dyDescent="0.2">
      <c r="A22" s="87" t="s">
        <v>60</v>
      </c>
      <c r="C22" s="95">
        <v>100260</v>
      </c>
      <c r="E22" s="95">
        <v>29588844193</v>
      </c>
      <c r="G22" s="95">
        <f>-30676693115</f>
        <v>-30676693115</v>
      </c>
      <c r="I22" s="95">
        <v>-1087848921</v>
      </c>
      <c r="K22" s="95">
        <v>100260</v>
      </c>
      <c r="M22" s="95">
        <v>29588844193</v>
      </c>
      <c r="O22" s="95">
        <f>-29073036082</f>
        <v>-29073036082</v>
      </c>
      <c r="Q22" s="95">
        <v>515808111</v>
      </c>
      <c r="R22" s="95"/>
    </row>
    <row r="23" spans="1:18" ht="21.75" customHeight="1" x14ac:dyDescent="0.2">
      <c r="A23" s="87" t="s">
        <v>98</v>
      </c>
      <c r="C23" s="95">
        <v>1386965</v>
      </c>
      <c r="E23" s="95">
        <v>1385279750718</v>
      </c>
      <c r="G23" s="95">
        <f>-1374169401254</f>
        <v>-1374169401254</v>
      </c>
      <c r="I23" s="95">
        <v>11110349464</v>
      </c>
      <c r="K23" s="95">
        <v>1386965</v>
      </c>
      <c r="M23" s="95">
        <v>1385279750718</v>
      </c>
      <c r="O23" s="95">
        <f>-1316924480970</f>
        <v>-1316924480970</v>
      </c>
      <c r="Q23" s="95">
        <v>68355269748</v>
      </c>
      <c r="R23" s="95"/>
    </row>
    <row r="24" spans="1:18" ht="21.75" customHeight="1" x14ac:dyDescent="0.2">
      <c r="A24" s="87" t="s">
        <v>100</v>
      </c>
      <c r="C24" s="95">
        <v>3433289</v>
      </c>
      <c r="E24" s="95">
        <v>3399208513884</v>
      </c>
      <c r="G24" s="95">
        <f>-3375632958876</f>
        <v>-3375632958876</v>
      </c>
      <c r="I24" s="95">
        <v>23575555008</v>
      </c>
      <c r="K24" s="95">
        <v>3433289</v>
      </c>
      <c r="M24" s="95">
        <v>3399208513884</v>
      </c>
      <c r="O24" s="95">
        <f>-3274645224122</f>
        <v>-3274645224122</v>
      </c>
      <c r="Q24" s="95">
        <v>124563289762</v>
      </c>
      <c r="R24" s="95"/>
    </row>
    <row r="25" spans="1:18" ht="21.75" customHeight="1" x14ac:dyDescent="0.2">
      <c r="A25" s="87" t="s">
        <v>88</v>
      </c>
      <c r="C25" s="95">
        <v>33051</v>
      </c>
      <c r="E25" s="95">
        <v>32432685480</v>
      </c>
      <c r="G25" s="95">
        <f>-31670998010</f>
        <v>-31670998010</v>
      </c>
      <c r="I25" s="95">
        <v>761687470</v>
      </c>
      <c r="K25" s="95">
        <v>33051</v>
      </c>
      <c r="M25" s="95">
        <v>32432685480</v>
      </c>
      <c r="O25" s="95">
        <f>-31313997565</f>
        <v>-31313997565</v>
      </c>
      <c r="Q25" s="95">
        <v>1118687915</v>
      </c>
      <c r="R25" s="95"/>
    </row>
    <row r="26" spans="1:18" ht="21.75" customHeight="1" x14ac:dyDescent="0.2">
      <c r="A26" s="87" t="s">
        <v>82</v>
      </c>
      <c r="C26" s="95">
        <v>49516</v>
      </c>
      <c r="E26" s="95">
        <v>47031673963</v>
      </c>
      <c r="G26" s="95">
        <f>-45526660396</f>
        <v>-45526660396</v>
      </c>
      <c r="I26" s="95">
        <v>1505013567</v>
      </c>
      <c r="K26" s="95">
        <v>49516</v>
      </c>
      <c r="M26" s="95">
        <v>47031673963</v>
      </c>
      <c r="O26" s="95">
        <f>-44951034578</f>
        <v>-44951034578</v>
      </c>
      <c r="Q26" s="95">
        <v>2080639385</v>
      </c>
      <c r="R26" s="95"/>
    </row>
    <row r="27" spans="1:18" ht="21.75" customHeight="1" x14ac:dyDescent="0.2">
      <c r="A27" s="87" t="s">
        <v>115</v>
      </c>
      <c r="C27" s="95">
        <v>3440000</v>
      </c>
      <c r="E27" s="95">
        <v>3416184784260</v>
      </c>
      <c r="G27" s="95">
        <f>-3364831453739</f>
        <v>-3364831453739</v>
      </c>
      <c r="I27" s="95">
        <v>51353330521</v>
      </c>
      <c r="K27" s="95">
        <v>3440000</v>
      </c>
      <c r="M27" s="95">
        <v>3416184784260</v>
      </c>
      <c r="O27" s="95">
        <f>-3259480000000</f>
        <v>-3259480000000</v>
      </c>
      <c r="Q27" s="95">
        <v>156704784260</v>
      </c>
      <c r="R27" s="95"/>
    </row>
    <row r="28" spans="1:18" ht="21.75" customHeight="1" x14ac:dyDescent="0.2">
      <c r="A28" s="87" t="s">
        <v>95</v>
      </c>
      <c r="C28" s="95">
        <v>11314</v>
      </c>
      <c r="E28" s="95">
        <v>10518529210</v>
      </c>
      <c r="G28" s="95">
        <f>-10198627283</f>
        <v>-10198627283</v>
      </c>
      <c r="I28" s="95">
        <v>319901927</v>
      </c>
      <c r="K28" s="95">
        <v>11314</v>
      </c>
      <c r="M28" s="95">
        <v>10518529210</v>
      </c>
      <c r="O28" s="95">
        <f>-10049690768</f>
        <v>-10049690768</v>
      </c>
      <c r="Q28" s="95">
        <v>468838442</v>
      </c>
      <c r="R28" s="95"/>
    </row>
    <row r="29" spans="1:18" ht="21.75" customHeight="1" x14ac:dyDescent="0.2">
      <c r="A29" s="87" t="s">
        <v>72</v>
      </c>
      <c r="C29" s="95">
        <v>17275</v>
      </c>
      <c r="E29" s="95">
        <v>15440878083</v>
      </c>
      <c r="G29" s="95">
        <f>-14974710341</f>
        <v>-14974710341</v>
      </c>
      <c r="I29" s="95">
        <v>466167742</v>
      </c>
      <c r="K29" s="95">
        <v>17275</v>
      </c>
      <c r="M29" s="95">
        <v>15440878083</v>
      </c>
      <c r="O29" s="95">
        <f>-14717364619</f>
        <v>-14717364619</v>
      </c>
      <c r="Q29" s="95">
        <v>723513464</v>
      </c>
      <c r="R29" s="95"/>
    </row>
    <row r="30" spans="1:18" ht="21.75" customHeight="1" x14ac:dyDescent="0.2">
      <c r="A30" s="87" t="s">
        <v>79</v>
      </c>
      <c r="C30" s="95">
        <v>21826</v>
      </c>
      <c r="E30" s="95">
        <v>19661225236</v>
      </c>
      <c r="G30" s="95">
        <f>-19046280035</f>
        <v>-19046280035</v>
      </c>
      <c r="I30" s="95">
        <v>614945201</v>
      </c>
      <c r="K30" s="95">
        <v>21826</v>
      </c>
      <c r="M30" s="95">
        <v>19661225236</v>
      </c>
      <c r="O30" s="95">
        <f>-18846066902</f>
        <v>-18846066902</v>
      </c>
      <c r="Q30" s="95">
        <v>815158334</v>
      </c>
      <c r="R30" s="95"/>
    </row>
    <row r="31" spans="1:18" ht="21.75" customHeight="1" x14ac:dyDescent="0.2">
      <c r="A31" s="87" t="s">
        <v>92</v>
      </c>
      <c r="C31" s="95">
        <v>14722</v>
      </c>
      <c r="E31" s="95">
        <v>13751241195</v>
      </c>
      <c r="G31" s="95">
        <f>-13393855823</f>
        <v>-13393855823</v>
      </c>
      <c r="I31" s="95">
        <v>357385372</v>
      </c>
      <c r="K31" s="95">
        <v>14722</v>
      </c>
      <c r="M31" s="95">
        <v>13751241195</v>
      </c>
      <c r="O31" s="95">
        <f>-13087667039</f>
        <v>-13087667039</v>
      </c>
      <c r="Q31" s="95">
        <v>663574156</v>
      </c>
      <c r="R31" s="95"/>
    </row>
    <row r="32" spans="1:18" ht="21.75" customHeight="1" x14ac:dyDescent="0.2">
      <c r="A32" s="87" t="s">
        <v>118</v>
      </c>
      <c r="C32" s="95">
        <v>1000</v>
      </c>
      <c r="E32" s="95">
        <v>943039043</v>
      </c>
      <c r="G32" s="95">
        <f>-943039043</f>
        <v>-943039043</v>
      </c>
      <c r="I32" s="95">
        <v>0</v>
      </c>
      <c r="K32" s="95">
        <v>1000</v>
      </c>
      <c r="M32" s="95">
        <v>943039043</v>
      </c>
      <c r="O32" s="95">
        <f>-924552394</f>
        <v>-924552394</v>
      </c>
      <c r="Q32" s="95">
        <v>18486649</v>
      </c>
      <c r="R32" s="95"/>
    </row>
    <row r="33" spans="1:18" ht="21.75" customHeight="1" x14ac:dyDescent="0.2">
      <c r="A33" s="87" t="s">
        <v>76</v>
      </c>
      <c r="C33" s="95">
        <v>71600</v>
      </c>
      <c r="E33" s="95">
        <v>57806520668</v>
      </c>
      <c r="G33" s="95">
        <f>-56408426119</f>
        <v>-56408426119</v>
      </c>
      <c r="I33" s="95">
        <v>1398094549</v>
      </c>
      <c r="K33" s="95">
        <v>71600</v>
      </c>
      <c r="M33" s="95">
        <v>57806520668</v>
      </c>
      <c r="O33" s="95">
        <f>-50593412281</f>
        <v>-50593412281</v>
      </c>
      <c r="Q33" s="95">
        <v>7213108387</v>
      </c>
      <c r="R33" s="95"/>
    </row>
    <row r="34" spans="1:18" ht="21.75" customHeight="1" x14ac:dyDescent="0.2">
      <c r="A34" s="87" t="s">
        <v>121</v>
      </c>
      <c r="C34" s="95">
        <v>20000</v>
      </c>
      <c r="E34" s="95">
        <v>19996375000</v>
      </c>
      <c r="G34" s="95">
        <f>-19996375000</f>
        <v>-19996375000</v>
      </c>
      <c r="I34" s="95">
        <v>0</v>
      </c>
      <c r="K34" s="95">
        <v>20000</v>
      </c>
      <c r="M34" s="95">
        <v>19996375000</v>
      </c>
      <c r="O34" s="95">
        <f>-19996375000</f>
        <v>-19996375000</v>
      </c>
      <c r="Q34" s="95">
        <v>0</v>
      </c>
      <c r="R34" s="95"/>
    </row>
    <row r="35" spans="1:18" ht="21.75" customHeight="1" x14ac:dyDescent="0.2">
      <c r="A35" s="87" t="s">
        <v>89</v>
      </c>
      <c r="C35" s="95">
        <v>57874</v>
      </c>
      <c r="E35" s="95">
        <v>54970334820</v>
      </c>
      <c r="G35" s="95">
        <f>-53523747062</f>
        <v>-53523747062</v>
      </c>
      <c r="I35" s="95">
        <v>1446587758</v>
      </c>
      <c r="K35" s="95">
        <v>57874</v>
      </c>
      <c r="M35" s="95">
        <v>54970334820</v>
      </c>
      <c r="O35" s="95">
        <f>-52881534125</f>
        <v>-52881534125</v>
      </c>
      <c r="Q35" s="95">
        <v>2088800695</v>
      </c>
      <c r="R35" s="95"/>
    </row>
    <row r="36" spans="1:18" ht="21.75" customHeight="1" x14ac:dyDescent="0.2">
      <c r="A36" s="87" t="s">
        <v>109</v>
      </c>
      <c r="C36" s="95">
        <v>2100000</v>
      </c>
      <c r="E36" s="95">
        <v>2079983734605</v>
      </c>
      <c r="G36" s="95">
        <f>-2071033057209</f>
        <v>-2071033057209</v>
      </c>
      <c r="I36" s="95">
        <v>8950677396</v>
      </c>
      <c r="K36" s="95">
        <v>2100000</v>
      </c>
      <c r="M36" s="95">
        <v>2079983734605</v>
      </c>
      <c r="O36" s="95">
        <f>-2027864882859</f>
        <v>-2027864882859</v>
      </c>
      <c r="Q36" s="95">
        <v>52118851746</v>
      </c>
      <c r="R36" s="95"/>
    </row>
    <row r="37" spans="1:18" ht="21.75" customHeight="1" x14ac:dyDescent="0.2">
      <c r="A37" s="87" t="s">
        <v>103</v>
      </c>
      <c r="C37" s="95">
        <v>1500000</v>
      </c>
      <c r="E37" s="95">
        <v>1499728125000</v>
      </c>
      <c r="G37" s="95">
        <f>-1499728125000</f>
        <v>-1499728125000</v>
      </c>
      <c r="I37" s="95">
        <v>0</v>
      </c>
      <c r="K37" s="95">
        <v>1500000</v>
      </c>
      <c r="M37" s="95">
        <v>1499728125000</v>
      </c>
      <c r="O37" s="95">
        <f>-1499848125000</f>
        <v>-1499848125000</v>
      </c>
      <c r="Q37" s="95">
        <v>-120000000</v>
      </c>
      <c r="R37" s="95"/>
    </row>
    <row r="38" spans="1:18" ht="21.75" customHeight="1" x14ac:dyDescent="0.2">
      <c r="A38" s="87" t="s">
        <v>112</v>
      </c>
      <c r="C38" s="95">
        <v>500000</v>
      </c>
      <c r="E38" s="95">
        <v>499909375000</v>
      </c>
      <c r="G38" s="95">
        <f>-499909375000</f>
        <v>-499909375000</v>
      </c>
      <c r="I38" s="95">
        <v>0</v>
      </c>
      <c r="K38" s="95">
        <v>500000</v>
      </c>
      <c r="M38" s="95">
        <v>499909375000</v>
      </c>
      <c r="O38" s="95">
        <f>-500000000000</f>
        <v>-500000000000</v>
      </c>
      <c r="Q38" s="95">
        <v>-90625000</v>
      </c>
      <c r="R38" s="95"/>
    </row>
    <row r="39" spans="1:18" ht="21.75" customHeight="1" x14ac:dyDescent="0.2">
      <c r="A39" s="87" t="s">
        <v>106</v>
      </c>
      <c r="C39" s="95">
        <v>526865</v>
      </c>
      <c r="E39" s="95">
        <v>474980688533</v>
      </c>
      <c r="G39" s="95">
        <f>-499909528622</f>
        <v>-499909528622</v>
      </c>
      <c r="I39" s="95">
        <v>-24928840088</v>
      </c>
      <c r="K39" s="95">
        <v>526865</v>
      </c>
      <c r="M39" s="95">
        <v>474980688533</v>
      </c>
      <c r="O39" s="95">
        <f>-500020153650</f>
        <v>-500020153650</v>
      </c>
      <c r="Q39" s="95">
        <v>-25039465116</v>
      </c>
      <c r="R39" s="95"/>
    </row>
    <row r="40" spans="1:18" ht="21.75" customHeight="1" x14ac:dyDescent="0.5">
      <c r="A40" s="84"/>
      <c r="C40" s="117">
        <v>206293493</v>
      </c>
      <c r="E40" s="117">
        <v>13759434391137</v>
      </c>
      <c r="G40" s="121">
        <f>-13695295951335</f>
        <v>-13695295951335</v>
      </c>
      <c r="I40" s="117">
        <v>64138439807</v>
      </c>
      <c r="K40" s="117">
        <v>206293493</v>
      </c>
      <c r="M40" s="117">
        <v>13759434391137</v>
      </c>
      <c r="O40" s="121">
        <f>-13349266693404</f>
        <v>-13349266693404</v>
      </c>
      <c r="Q40" s="205">
        <v>410167697736</v>
      </c>
      <c r="R40" s="205"/>
    </row>
  </sheetData>
  <sheetProtection algorithmName="SHA-512" hashValue="HUmv2JfGqKS2Lj2ItKqUUj3nIjJkYRcpnRy56UHoyBzOP+a43H++hNPntj+vP5X1BT+QhoLwZKVeEwnHBQd08Q==" saltValue="z7JAJ0S9oWk5zKLYRUnViw==" spinCount="100000" sheet="1" objects="1" scenarios="1" selectLockedCells="1" autoFilter="0" selectUnlockedCells="1"/>
  <mergeCells count="9">
    <mergeCell ref="Q40:R4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B20"/>
  <sheetViews>
    <sheetView rightToLeft="1" view="pageBreakPreview" zoomScale="93" zoomScaleNormal="100" zoomScaleSheetLayoutView="93" workbookViewId="0">
      <selection activeCell="F42" sqref="F42:F43"/>
    </sheetView>
  </sheetViews>
  <sheetFormatPr defaultRowHeight="12.75" x14ac:dyDescent="0.2"/>
  <cols>
    <col min="1" max="1" width="3.28515625" customWidth="1"/>
    <col min="2" max="2" width="3" customWidth="1"/>
    <col min="3" max="3" width="23.42578125" customWidth="1"/>
    <col min="4" max="4" width="1" customWidth="1"/>
    <col min="5" max="5" width="1.28515625" hidden="1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.5703125" customWidth="1"/>
    <col min="13" max="13" width="1.28515625" customWidth="1"/>
    <col min="14" max="14" width="13.7109375" customWidth="1"/>
    <col min="15" max="15" width="1.28515625" customWidth="1"/>
    <col min="16" max="16" width="12.7109375" customWidth="1"/>
    <col min="17" max="17" width="1.28515625" customWidth="1"/>
    <col min="18" max="18" width="13.28515625" customWidth="1"/>
    <col min="19" max="19" width="1.28515625" customWidth="1"/>
    <col min="20" max="20" width="15.5703125" customWidth="1"/>
    <col min="21" max="21" width="1.28515625" customWidth="1"/>
    <col min="22" max="22" width="19" bestFit="1" customWidth="1"/>
    <col min="23" max="23" width="1.28515625" customWidth="1"/>
    <col min="24" max="24" width="17.7109375" bestFit="1" customWidth="1"/>
    <col min="25" max="25" width="1.28515625" customWidth="1"/>
    <col min="26" max="26" width="16.85546875" customWidth="1"/>
    <col min="27" max="27" width="1.28515625" customWidth="1"/>
    <col min="28" max="28" width="12" customWidth="1"/>
    <col min="29" max="29" width="0.28515625" customWidth="1"/>
  </cols>
  <sheetData>
    <row r="1" spans="1:28" ht="29.1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</row>
    <row r="2" spans="1:28" ht="21.75" customHeight="1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</row>
    <row r="3" spans="1:28" ht="21.75" customHeight="1" x14ac:dyDescent="0.2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</row>
    <row r="4" spans="1:28" ht="14.45" customHeight="1" x14ac:dyDescent="0.2">
      <c r="A4" s="7" t="s">
        <v>3</v>
      </c>
      <c r="B4" s="157" t="s">
        <v>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</row>
    <row r="5" spans="1:28" ht="14.45" customHeight="1" x14ac:dyDescent="0.2">
      <c r="A5" s="157" t="s">
        <v>5</v>
      </c>
      <c r="B5" s="157"/>
      <c r="C5" s="157" t="s">
        <v>6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</row>
    <row r="6" spans="1:28" ht="14.45" customHeight="1" x14ac:dyDescent="0.2">
      <c r="F6" s="151" t="s">
        <v>7</v>
      </c>
      <c r="G6" s="151"/>
      <c r="H6" s="151"/>
      <c r="I6" s="151"/>
      <c r="J6" s="151"/>
      <c r="L6" s="151" t="s">
        <v>8</v>
      </c>
      <c r="M6" s="151"/>
      <c r="N6" s="151"/>
      <c r="O6" s="151"/>
      <c r="P6" s="151"/>
      <c r="Q6" s="151"/>
      <c r="R6" s="151"/>
      <c r="T6" s="151" t="s">
        <v>9</v>
      </c>
      <c r="U6" s="151"/>
      <c r="V6" s="151"/>
      <c r="W6" s="151"/>
      <c r="X6" s="151"/>
      <c r="Y6" s="151"/>
      <c r="Z6" s="151"/>
      <c r="AA6" s="151"/>
      <c r="AB6" s="151"/>
    </row>
    <row r="7" spans="1:28" ht="14.45" customHeight="1" x14ac:dyDescent="0.2">
      <c r="A7" s="147" t="s">
        <v>12</v>
      </c>
      <c r="B7" s="147"/>
      <c r="C7" s="147"/>
      <c r="E7" s="149" t="s">
        <v>13</v>
      </c>
      <c r="F7" s="149"/>
      <c r="G7" s="2"/>
      <c r="H7" s="153" t="s">
        <v>14</v>
      </c>
      <c r="I7" s="2"/>
      <c r="J7" s="153" t="s">
        <v>15</v>
      </c>
      <c r="L7" s="152" t="s">
        <v>10</v>
      </c>
      <c r="M7" s="152"/>
      <c r="N7" s="152"/>
      <c r="O7" s="2"/>
      <c r="P7" s="152" t="s">
        <v>11</v>
      </c>
      <c r="Q7" s="152"/>
      <c r="R7" s="152"/>
      <c r="T7" s="153" t="s">
        <v>13</v>
      </c>
      <c r="U7" s="2"/>
      <c r="V7" s="153" t="s">
        <v>17</v>
      </c>
      <c r="W7" s="2"/>
      <c r="X7" s="153" t="s">
        <v>14</v>
      </c>
      <c r="Y7" s="2"/>
      <c r="Z7" s="153" t="s">
        <v>15</v>
      </c>
      <c r="AA7" s="2"/>
      <c r="AB7" s="154" t="s">
        <v>18</v>
      </c>
    </row>
    <row r="8" spans="1:28" ht="21" customHeight="1" x14ac:dyDescent="0.2">
      <c r="A8" s="148"/>
      <c r="B8" s="148"/>
      <c r="C8" s="148"/>
      <c r="E8" s="150"/>
      <c r="F8" s="150"/>
      <c r="H8" s="150"/>
      <c r="J8" s="150"/>
      <c r="L8" s="10" t="s">
        <v>13</v>
      </c>
      <c r="M8" s="2"/>
      <c r="N8" s="10" t="s">
        <v>14</v>
      </c>
      <c r="P8" s="10" t="s">
        <v>13</v>
      </c>
      <c r="Q8" s="2"/>
      <c r="R8" s="10" t="s">
        <v>16</v>
      </c>
      <c r="T8" s="150"/>
      <c r="V8" s="150"/>
      <c r="X8" s="150"/>
      <c r="Z8" s="150"/>
      <c r="AB8" s="155"/>
    </row>
    <row r="9" spans="1:28" ht="21.75" customHeight="1" x14ac:dyDescent="0.2">
      <c r="A9" s="145" t="s">
        <v>19</v>
      </c>
      <c r="B9" s="145"/>
      <c r="C9" s="145"/>
      <c r="E9" s="146">
        <v>14152500</v>
      </c>
      <c r="F9" s="146"/>
      <c r="H9" s="12">
        <v>199767895368</v>
      </c>
      <c r="J9" s="12">
        <v>48282380289</v>
      </c>
      <c r="L9" s="12" t="s">
        <v>215</v>
      </c>
      <c r="M9" s="11"/>
      <c r="N9" s="16" t="s">
        <v>215</v>
      </c>
      <c r="O9" s="11"/>
      <c r="P9" s="16" t="s">
        <v>215</v>
      </c>
      <c r="Q9" s="11"/>
      <c r="R9" s="16" t="s">
        <v>215</v>
      </c>
      <c r="T9" s="12">
        <v>14152500</v>
      </c>
      <c r="V9" s="12">
        <v>2742</v>
      </c>
      <c r="X9" s="12">
        <v>199767895368</v>
      </c>
      <c r="Z9" s="12">
        <v>38575258377.75</v>
      </c>
      <c r="AB9" s="22">
        <v>0.21</v>
      </c>
    </row>
    <row r="10" spans="1:28" ht="21.75" customHeight="1" x14ac:dyDescent="0.2">
      <c r="A10" s="141" t="s">
        <v>20</v>
      </c>
      <c r="B10" s="141"/>
      <c r="C10" s="141"/>
      <c r="E10" s="142">
        <v>20000000</v>
      </c>
      <c r="F10" s="142"/>
      <c r="H10" s="13">
        <v>59783255650</v>
      </c>
      <c r="J10" s="13">
        <v>68092425000</v>
      </c>
      <c r="L10" s="13" t="s">
        <v>215</v>
      </c>
      <c r="M10" s="11"/>
      <c r="N10" s="17" t="s">
        <v>215</v>
      </c>
      <c r="O10" s="11"/>
      <c r="P10" s="17" t="s">
        <v>215</v>
      </c>
      <c r="Q10" s="11"/>
      <c r="R10" s="17" t="s">
        <v>215</v>
      </c>
      <c r="T10" s="13">
        <v>20000000</v>
      </c>
      <c r="V10" s="13">
        <v>3480</v>
      </c>
      <c r="X10" s="13">
        <v>59783255650</v>
      </c>
      <c r="Z10" s="13">
        <v>69185880000</v>
      </c>
      <c r="AB10" s="23">
        <v>0.37</v>
      </c>
    </row>
    <row r="11" spans="1:28" ht="21.75" customHeight="1" x14ac:dyDescent="0.2">
      <c r="A11" s="141" t="s">
        <v>21</v>
      </c>
      <c r="B11" s="141"/>
      <c r="C11" s="141"/>
      <c r="E11" s="142">
        <v>5000000</v>
      </c>
      <c r="F11" s="142"/>
      <c r="H11" s="13">
        <v>71718834125</v>
      </c>
      <c r="J11" s="13">
        <v>74543809500</v>
      </c>
      <c r="L11" s="13" t="s">
        <v>215</v>
      </c>
      <c r="M11" s="11"/>
      <c r="N11" s="17" t="s">
        <v>215</v>
      </c>
      <c r="O11" s="11"/>
      <c r="P11" s="17" t="s">
        <v>215</v>
      </c>
      <c r="Q11" s="11"/>
      <c r="R11" s="17" t="s">
        <v>215</v>
      </c>
      <c r="T11" s="13">
        <v>5000000</v>
      </c>
      <c r="V11" s="13">
        <v>15277</v>
      </c>
      <c r="X11" s="13">
        <v>71718834125</v>
      </c>
      <c r="Z11" s="13">
        <v>75930509250</v>
      </c>
      <c r="AB11" s="23">
        <v>0.41</v>
      </c>
    </row>
    <row r="12" spans="1:28" ht="21.75" customHeight="1" x14ac:dyDescent="0.2">
      <c r="A12" s="141" t="s">
        <v>22</v>
      </c>
      <c r="B12" s="141"/>
      <c r="C12" s="141"/>
      <c r="E12" s="142">
        <v>21362500</v>
      </c>
      <c r="F12" s="142"/>
      <c r="H12" s="13">
        <v>57946514882</v>
      </c>
      <c r="J12" s="13">
        <v>65872189473.75</v>
      </c>
      <c r="L12" s="13" t="s">
        <v>215</v>
      </c>
      <c r="M12" s="11"/>
      <c r="N12" s="17" t="s">
        <v>215</v>
      </c>
      <c r="O12" s="11"/>
      <c r="P12" s="17" t="s">
        <v>215</v>
      </c>
      <c r="Q12" s="11"/>
      <c r="R12" s="17" t="s">
        <v>215</v>
      </c>
      <c r="T12" s="13">
        <v>21362500</v>
      </c>
      <c r="V12" s="13">
        <v>3120</v>
      </c>
      <c r="X12" s="13">
        <v>57946514882</v>
      </c>
      <c r="Z12" s="13">
        <v>66254426550</v>
      </c>
      <c r="AB12" s="23">
        <v>0.36</v>
      </c>
    </row>
    <row r="13" spans="1:28" ht="21.75" customHeight="1" x14ac:dyDescent="0.2">
      <c r="A13" s="141" t="s">
        <v>23</v>
      </c>
      <c r="B13" s="141"/>
      <c r="C13" s="141"/>
      <c r="E13" s="142">
        <v>60450168</v>
      </c>
      <c r="F13" s="142"/>
      <c r="H13" s="13">
        <v>99519482626</v>
      </c>
      <c r="J13" s="13">
        <v>81963427678.545593</v>
      </c>
      <c r="L13" s="13" t="s">
        <v>215</v>
      </c>
      <c r="M13" s="11"/>
      <c r="N13" s="17" t="s">
        <v>215</v>
      </c>
      <c r="O13" s="11"/>
      <c r="P13" s="17" t="s">
        <v>215</v>
      </c>
      <c r="Q13" s="11"/>
      <c r="R13" s="17" t="s">
        <v>215</v>
      </c>
      <c r="T13" s="13">
        <v>60450168</v>
      </c>
      <c r="V13" s="13">
        <v>1366</v>
      </c>
      <c r="X13" s="13">
        <v>99519482626</v>
      </c>
      <c r="Z13" s="13">
        <v>82083608657.546402</v>
      </c>
      <c r="AB13" s="23">
        <v>0.44</v>
      </c>
    </row>
    <row r="14" spans="1:28" ht="21.75" customHeight="1" x14ac:dyDescent="0.2">
      <c r="A14" s="141" t="s">
        <v>24</v>
      </c>
      <c r="B14" s="141"/>
      <c r="C14" s="141"/>
      <c r="E14" s="142">
        <v>32085561</v>
      </c>
      <c r="F14" s="142"/>
      <c r="H14" s="13">
        <v>57550196900</v>
      </c>
      <c r="J14" s="13">
        <v>65447825723.526604</v>
      </c>
      <c r="L14" s="13" t="s">
        <v>215</v>
      </c>
      <c r="M14" s="11"/>
      <c r="N14" s="17" t="s">
        <v>215</v>
      </c>
      <c r="O14" s="11"/>
      <c r="P14" s="17" t="s">
        <v>215</v>
      </c>
      <c r="Q14" s="11"/>
      <c r="R14" s="17" t="s">
        <v>215</v>
      </c>
      <c r="T14" s="13">
        <v>32085561</v>
      </c>
      <c r="V14" s="13">
        <v>2090</v>
      </c>
      <c r="X14" s="13">
        <v>57550196900</v>
      </c>
      <c r="Z14" s="13">
        <v>66659822496.184502</v>
      </c>
      <c r="AB14" s="23">
        <v>0.36</v>
      </c>
    </row>
    <row r="15" spans="1:28" ht="21.75" customHeight="1" x14ac:dyDescent="0.2">
      <c r="A15" s="141" t="s">
        <v>25</v>
      </c>
      <c r="B15" s="141"/>
      <c r="C15" s="141"/>
      <c r="E15" s="142">
        <v>218115</v>
      </c>
      <c r="F15" s="142"/>
      <c r="H15" s="13">
        <v>3735656358</v>
      </c>
      <c r="J15" s="13">
        <v>4778651435.1300001</v>
      </c>
      <c r="L15" s="15">
        <v>436230</v>
      </c>
      <c r="M15" s="11"/>
      <c r="N15" s="17" t="s">
        <v>215</v>
      </c>
      <c r="O15" s="11"/>
      <c r="P15" s="17" t="s">
        <v>215</v>
      </c>
      <c r="Q15" s="11"/>
      <c r="R15" s="17" t="s">
        <v>215</v>
      </c>
      <c r="T15" s="13">
        <v>654345</v>
      </c>
      <c r="V15" s="13">
        <v>7360</v>
      </c>
      <c r="X15" s="13">
        <v>3735656358</v>
      </c>
      <c r="Z15" s="13">
        <v>4787324123.7600002</v>
      </c>
      <c r="AB15" s="23">
        <v>0.03</v>
      </c>
    </row>
    <row r="16" spans="1:28" ht="21.75" customHeight="1" x14ac:dyDescent="0.2">
      <c r="A16" s="141" t="s">
        <v>26</v>
      </c>
      <c r="B16" s="141"/>
      <c r="C16" s="141"/>
      <c r="E16" s="142">
        <v>68564</v>
      </c>
      <c r="F16" s="142"/>
      <c r="H16" s="13">
        <v>406839684</v>
      </c>
      <c r="J16" s="13">
        <v>510488771.05800003</v>
      </c>
      <c r="L16" s="15" t="s">
        <v>215</v>
      </c>
      <c r="M16" s="11"/>
      <c r="N16" s="17" t="s">
        <v>215</v>
      </c>
      <c r="O16" s="11"/>
      <c r="P16" s="17" t="s">
        <v>215</v>
      </c>
      <c r="Q16" s="11"/>
      <c r="R16" s="17" t="s">
        <v>215</v>
      </c>
      <c r="T16" s="13">
        <v>68564</v>
      </c>
      <c r="V16" s="13">
        <v>6870</v>
      </c>
      <c r="X16" s="13">
        <v>406839684</v>
      </c>
      <c r="Z16" s="13">
        <v>468232023.65399998</v>
      </c>
      <c r="AB16" s="23">
        <v>0</v>
      </c>
    </row>
    <row r="17" spans="1:28" ht="21.75" customHeight="1" x14ac:dyDescent="0.2">
      <c r="A17" s="141" t="s">
        <v>27</v>
      </c>
      <c r="B17" s="141"/>
      <c r="C17" s="141"/>
      <c r="E17" s="142">
        <v>15000000</v>
      </c>
      <c r="F17" s="142"/>
      <c r="H17" s="13">
        <v>55203962940</v>
      </c>
      <c r="J17" s="13">
        <v>60835860000</v>
      </c>
      <c r="L17" s="15" t="s">
        <v>215</v>
      </c>
      <c r="M17" s="11"/>
      <c r="N17" s="17" t="s">
        <v>215</v>
      </c>
      <c r="O17" s="11"/>
      <c r="P17" s="17" t="s">
        <v>215</v>
      </c>
      <c r="Q17" s="11"/>
      <c r="R17" s="17" t="s">
        <v>215</v>
      </c>
      <c r="T17" s="13">
        <v>15000000</v>
      </c>
      <c r="V17" s="13">
        <v>4138</v>
      </c>
      <c r="X17" s="13">
        <v>55203962940</v>
      </c>
      <c r="Z17" s="13">
        <v>61700683500</v>
      </c>
      <c r="AB17" s="23">
        <v>0.33</v>
      </c>
    </row>
    <row r="18" spans="1:28" ht="21.75" customHeight="1" x14ac:dyDescent="0.2">
      <c r="A18" s="141" t="s">
        <v>28</v>
      </c>
      <c r="B18" s="141"/>
      <c r="C18" s="141"/>
      <c r="E18" s="142">
        <v>10210000</v>
      </c>
      <c r="F18" s="142"/>
      <c r="H18" s="13">
        <v>22234674093</v>
      </c>
      <c r="J18" s="13">
        <v>77743258830</v>
      </c>
      <c r="L18" s="15" t="s">
        <v>215</v>
      </c>
      <c r="M18" s="11"/>
      <c r="N18" s="17" t="s">
        <v>215</v>
      </c>
      <c r="O18" s="11"/>
      <c r="P18" s="17" t="s">
        <v>215</v>
      </c>
      <c r="Q18" s="11"/>
      <c r="R18" s="17" t="s">
        <v>215</v>
      </c>
      <c r="T18" s="13">
        <v>10210000</v>
      </c>
      <c r="V18" s="13">
        <v>6440</v>
      </c>
      <c r="X18" s="13">
        <v>22234674093</v>
      </c>
      <c r="Z18" s="13">
        <v>65361173220</v>
      </c>
      <c r="AB18" s="23">
        <v>0.35</v>
      </c>
    </row>
    <row r="19" spans="1:28" ht="21.75" customHeight="1" x14ac:dyDescent="0.2">
      <c r="A19" s="143" t="s">
        <v>29</v>
      </c>
      <c r="B19" s="143"/>
      <c r="C19" s="143"/>
      <c r="D19" s="8"/>
      <c r="E19" s="142">
        <v>5717058</v>
      </c>
      <c r="F19" s="144"/>
      <c r="H19" s="14">
        <v>59931530640</v>
      </c>
      <c r="J19" s="14">
        <v>60149311287.861603</v>
      </c>
      <c r="L19" s="15" t="s">
        <v>215</v>
      </c>
      <c r="M19" s="11"/>
      <c r="N19" s="17" t="s">
        <v>215</v>
      </c>
      <c r="O19" s="11"/>
      <c r="P19" s="17" t="s">
        <v>215</v>
      </c>
      <c r="Q19" s="11"/>
      <c r="R19" s="17" t="s">
        <v>215</v>
      </c>
      <c r="T19" s="15">
        <v>5717058</v>
      </c>
      <c r="V19" s="15">
        <v>10824</v>
      </c>
      <c r="X19" s="14">
        <v>59931530640</v>
      </c>
      <c r="Z19" s="14">
        <v>61513241249.037598</v>
      </c>
      <c r="AB19" s="24">
        <v>0.33</v>
      </c>
    </row>
    <row r="20" spans="1:28" ht="21.75" customHeight="1" x14ac:dyDescent="0.2">
      <c r="A20" s="140"/>
      <c r="B20" s="140"/>
      <c r="C20" s="140"/>
      <c r="D20" s="140"/>
      <c r="F20" s="9"/>
      <c r="H20" s="21">
        <v>687798843266</v>
      </c>
      <c r="J20" s="21">
        <v>608219627988.87195</v>
      </c>
      <c r="L20" s="18"/>
      <c r="M20" s="11"/>
      <c r="N20" s="19" t="s">
        <v>215</v>
      </c>
      <c r="O20" s="11"/>
      <c r="P20" s="18"/>
      <c r="Q20" s="11"/>
      <c r="R20" s="19" t="s">
        <v>215</v>
      </c>
      <c r="T20" s="9"/>
      <c r="V20" s="9"/>
      <c r="X20" s="21">
        <v>687798843266</v>
      </c>
      <c r="Z20" s="21">
        <v>592520159447.93201</v>
      </c>
      <c r="AB20" s="25">
        <v>3.19</v>
      </c>
    </row>
  </sheetData>
  <sheetProtection algorithmName="SHA-512" hashValue="AnxD/EciUtXXufIBcq/Rm8lNcRVHl7qUaipWljnDr87F4paeT9SNikcPRZxfu7ZEzdqt5tRc2w5Dy5abSYVlng==" saltValue="396Yt6LDsHv9QWSomCy8JQ==" spinCount="100000" sheet="1" objects="1" scenarios="1" selectLockedCells="1" autoFilter="0" selectUnlockedCells="1"/>
  <mergeCells count="4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T7:T8"/>
    <mergeCell ref="V7:V8"/>
    <mergeCell ref="X7:X8"/>
    <mergeCell ref="Z7:Z8"/>
    <mergeCell ref="AB7:AB8"/>
    <mergeCell ref="J7:J8"/>
    <mergeCell ref="H7:H8"/>
    <mergeCell ref="A9:C9"/>
    <mergeCell ref="E9:F9"/>
    <mergeCell ref="A10:C10"/>
    <mergeCell ref="E10:F10"/>
    <mergeCell ref="A7:C8"/>
    <mergeCell ref="E7:F8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20:D20"/>
    <mergeCell ref="A17:C17"/>
    <mergeCell ref="E17:F17"/>
    <mergeCell ref="A18:C18"/>
    <mergeCell ref="E18:F18"/>
    <mergeCell ref="A19:C19"/>
    <mergeCell ref="E19:F19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AW25"/>
  <sheetViews>
    <sheetView rightToLeft="1" view="pageBreakPreview" zoomScale="106" zoomScaleNormal="100" zoomScaleSheetLayoutView="106" workbookViewId="0">
      <selection activeCell="AA19" sqref="Z19:AA20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0.7109375" customWidth="1"/>
    <col min="6" max="6" width="1.28515625" hidden="1" customWidth="1"/>
    <col min="7" max="7" width="6.42578125" hidden="1" customWidth="1"/>
    <col min="8" max="8" width="1.28515625" customWidth="1"/>
    <col min="9" max="9" width="5.140625" customWidth="1"/>
    <col min="10" max="10" width="1.28515625" customWidth="1"/>
    <col min="11" max="11" width="8.5703125" customWidth="1"/>
    <col min="12" max="12" width="1.28515625" customWidth="1"/>
    <col min="13" max="13" width="2.5703125" customWidth="1"/>
    <col min="14" max="14" width="1.28515625" customWidth="1"/>
    <col min="15" max="15" width="8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8.85546875" customWidth="1"/>
    <col min="34" max="34" width="1.28515625" customWidth="1"/>
    <col min="35" max="35" width="2.5703125" customWidth="1"/>
    <col min="36" max="36" width="1.28515625" customWidth="1"/>
    <col min="37" max="37" width="8" customWidth="1"/>
    <col min="38" max="38" width="1.28515625" customWidth="1"/>
    <col min="39" max="39" width="2.5703125" customWidth="1"/>
    <col min="40" max="40" width="1.28515625" customWidth="1"/>
    <col min="41" max="41" width="8.5703125" customWidth="1"/>
    <col min="42" max="42" width="1.28515625" customWidth="1"/>
    <col min="43" max="43" width="2.5703125" customWidth="1"/>
    <col min="44" max="44" width="1.28515625" customWidth="1"/>
    <col min="45" max="45" width="10.140625" customWidth="1"/>
    <col min="46" max="46" width="1.28515625" customWidth="1"/>
    <col min="47" max="47" width="0.28515625" customWidth="1"/>
    <col min="48" max="48" width="13" customWidth="1"/>
    <col min="49" max="49" width="7.7109375" customWidth="1"/>
    <col min="50" max="50" width="0.28515625" customWidth="1"/>
  </cols>
  <sheetData>
    <row r="1" spans="1:49" ht="27" customHeight="1" x14ac:dyDescent="0.2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</row>
    <row r="2" spans="1:49" ht="21.75" customHeight="1" x14ac:dyDescent="0.2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</row>
    <row r="3" spans="1:49" ht="21.75" customHeight="1" x14ac:dyDescent="0.2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</row>
    <row r="4" spans="1:49" ht="23.25" customHeight="1" x14ac:dyDescent="0.2">
      <c r="A4" s="172" t="s">
        <v>31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</row>
    <row r="5" spans="1:49" ht="18" customHeight="1" x14ac:dyDescent="0.2">
      <c r="I5" s="148" t="s">
        <v>7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C5" s="148" t="s">
        <v>9</v>
      </c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</row>
    <row r="6" spans="1:49" ht="18" customHeight="1" x14ac:dyDescent="0.2">
      <c r="A6" s="147" t="s">
        <v>12</v>
      </c>
      <c r="B6" s="147"/>
      <c r="C6" s="147"/>
      <c r="D6" s="147"/>
      <c r="E6" s="147"/>
      <c r="F6" s="147"/>
      <c r="G6" s="147"/>
      <c r="I6" s="170" t="s">
        <v>33</v>
      </c>
      <c r="J6" s="170"/>
      <c r="K6" s="170"/>
      <c r="L6" s="2"/>
      <c r="M6" s="170" t="s">
        <v>34</v>
      </c>
      <c r="N6" s="170"/>
      <c r="O6" s="170"/>
      <c r="P6" s="2"/>
      <c r="Q6" s="170" t="s">
        <v>35</v>
      </c>
      <c r="R6" s="170"/>
      <c r="S6" s="170"/>
      <c r="T6" s="170"/>
      <c r="U6" s="170"/>
      <c r="V6" s="2"/>
      <c r="W6" s="170" t="s">
        <v>36</v>
      </c>
      <c r="X6" s="170"/>
      <c r="Y6" s="170"/>
      <c r="Z6" s="170"/>
      <c r="AA6" s="170"/>
      <c r="AC6" s="170" t="s">
        <v>33</v>
      </c>
      <c r="AD6" s="170"/>
      <c r="AE6" s="170"/>
      <c r="AF6" s="170"/>
      <c r="AG6" s="170"/>
      <c r="AH6" s="2"/>
      <c r="AI6" s="170" t="s">
        <v>34</v>
      </c>
      <c r="AJ6" s="170"/>
      <c r="AK6" s="170"/>
      <c r="AL6" s="2"/>
      <c r="AM6" s="170" t="s">
        <v>35</v>
      </c>
      <c r="AN6" s="170"/>
      <c r="AO6" s="170"/>
      <c r="AP6" s="2"/>
      <c r="AQ6" s="170" t="s">
        <v>36</v>
      </c>
      <c r="AR6" s="170"/>
      <c r="AS6" s="170"/>
    </row>
    <row r="7" spans="1:49" ht="18.75" customHeight="1" x14ac:dyDescent="0.2">
      <c r="A7" s="148"/>
      <c r="B7" s="148"/>
      <c r="C7" s="148"/>
      <c r="D7" s="148"/>
      <c r="E7" s="148"/>
      <c r="F7" s="148"/>
      <c r="G7" s="148"/>
      <c r="I7" s="148"/>
      <c r="J7" s="148"/>
      <c r="K7" s="148"/>
      <c r="M7" s="148"/>
      <c r="N7" s="148"/>
      <c r="O7" s="148"/>
      <c r="Q7" s="148"/>
      <c r="R7" s="148"/>
      <c r="S7" s="148"/>
      <c r="T7" s="148"/>
      <c r="U7" s="148"/>
      <c r="W7" s="148"/>
      <c r="X7" s="148"/>
      <c r="Y7" s="148"/>
      <c r="Z7" s="148"/>
      <c r="AA7" s="148"/>
      <c r="AC7" s="148"/>
      <c r="AD7" s="148"/>
      <c r="AE7" s="148"/>
      <c r="AF7" s="148"/>
      <c r="AG7" s="148"/>
      <c r="AI7" s="148"/>
      <c r="AJ7" s="148"/>
      <c r="AK7" s="148"/>
      <c r="AM7" s="148"/>
      <c r="AN7" s="148"/>
      <c r="AO7" s="148"/>
      <c r="AQ7" s="148"/>
      <c r="AR7" s="148"/>
      <c r="AS7" s="148"/>
    </row>
    <row r="8" spans="1:49" ht="21.75" customHeight="1" x14ac:dyDescent="0.2">
      <c r="A8" s="166" t="s">
        <v>37</v>
      </c>
      <c r="B8" s="166"/>
      <c r="C8" s="166"/>
      <c r="D8" s="166"/>
      <c r="E8" s="166"/>
      <c r="F8" s="166"/>
      <c r="G8" s="166"/>
      <c r="I8" s="167">
        <v>15000000</v>
      </c>
      <c r="J8" s="167"/>
      <c r="K8" s="167"/>
      <c r="L8" s="11"/>
      <c r="M8" s="167">
        <v>4178</v>
      </c>
      <c r="N8" s="167"/>
      <c r="O8" s="167"/>
      <c r="P8" s="11"/>
      <c r="Q8" s="168" t="s">
        <v>38</v>
      </c>
      <c r="R8" s="168"/>
      <c r="S8" s="168"/>
      <c r="T8" s="168"/>
      <c r="U8" s="168"/>
      <c r="V8" s="11"/>
      <c r="W8" s="169">
        <v>0.182086747039932</v>
      </c>
      <c r="X8" s="169"/>
      <c r="Y8" s="169"/>
      <c r="Z8" s="169"/>
      <c r="AA8" s="169"/>
      <c r="AB8" s="11"/>
      <c r="AC8" s="167">
        <v>15000000</v>
      </c>
      <c r="AD8" s="167"/>
      <c r="AE8" s="167"/>
      <c r="AF8" s="167"/>
      <c r="AG8" s="167"/>
      <c r="AH8" s="11"/>
      <c r="AI8" s="167">
        <v>4178</v>
      </c>
      <c r="AJ8" s="167"/>
      <c r="AK8" s="167"/>
      <c r="AL8" s="11"/>
      <c r="AM8" s="168" t="s">
        <v>38</v>
      </c>
      <c r="AN8" s="168"/>
      <c r="AO8" s="168"/>
      <c r="AP8" s="11"/>
      <c r="AQ8" s="169">
        <v>0.182086747039932</v>
      </c>
      <c r="AR8" s="169"/>
      <c r="AS8" s="169"/>
    </row>
    <row r="9" spans="1:49" ht="21.75" customHeight="1" x14ac:dyDescent="0.2">
      <c r="A9" s="163" t="s">
        <v>39</v>
      </c>
      <c r="B9" s="163"/>
      <c r="C9" s="163"/>
      <c r="D9" s="163"/>
      <c r="E9" s="163"/>
      <c r="F9" s="163"/>
      <c r="G9" s="163"/>
      <c r="I9" s="160">
        <v>32085561</v>
      </c>
      <c r="J9" s="160"/>
      <c r="K9" s="160"/>
      <c r="L9" s="11"/>
      <c r="M9" s="160">
        <v>2103</v>
      </c>
      <c r="N9" s="160"/>
      <c r="O9" s="160"/>
      <c r="P9" s="11"/>
      <c r="Q9" s="158" t="s">
        <v>40</v>
      </c>
      <c r="R9" s="158"/>
      <c r="S9" s="158"/>
      <c r="T9" s="158"/>
      <c r="U9" s="158"/>
      <c r="V9" s="11"/>
      <c r="W9" s="159">
        <v>0.24187411793243299</v>
      </c>
      <c r="X9" s="159"/>
      <c r="Y9" s="159"/>
      <c r="Z9" s="159"/>
      <c r="AA9" s="159"/>
      <c r="AB9" s="11"/>
      <c r="AC9" s="160">
        <v>32085561</v>
      </c>
      <c r="AD9" s="160"/>
      <c r="AE9" s="160"/>
      <c r="AF9" s="160"/>
      <c r="AG9" s="160"/>
      <c r="AH9" s="11"/>
      <c r="AI9" s="160">
        <v>2103</v>
      </c>
      <c r="AJ9" s="160"/>
      <c r="AK9" s="160"/>
      <c r="AL9" s="11"/>
      <c r="AM9" s="158" t="s">
        <v>40</v>
      </c>
      <c r="AN9" s="158"/>
      <c r="AO9" s="158"/>
      <c r="AP9" s="11"/>
      <c r="AQ9" s="159">
        <v>0.24187411793243299</v>
      </c>
      <c r="AR9" s="159"/>
      <c r="AS9" s="159"/>
    </row>
    <row r="10" spans="1:49" ht="21.75" customHeight="1" x14ac:dyDescent="0.2">
      <c r="A10" s="163" t="s">
        <v>41</v>
      </c>
      <c r="B10" s="163"/>
      <c r="C10" s="163"/>
      <c r="D10" s="163"/>
      <c r="E10" s="163"/>
      <c r="F10" s="163"/>
      <c r="G10" s="163"/>
      <c r="I10" s="160">
        <v>5717057</v>
      </c>
      <c r="J10" s="160"/>
      <c r="K10" s="160"/>
      <c r="L10" s="11"/>
      <c r="M10" s="160">
        <v>11013</v>
      </c>
      <c r="N10" s="160"/>
      <c r="O10" s="160"/>
      <c r="P10" s="11"/>
      <c r="Q10" s="158" t="s">
        <v>42</v>
      </c>
      <c r="R10" s="158"/>
      <c r="S10" s="158"/>
      <c r="T10" s="158"/>
      <c r="U10" s="158"/>
      <c r="V10" s="11"/>
      <c r="W10" s="159">
        <v>0.30150383398490199</v>
      </c>
      <c r="X10" s="159"/>
      <c r="Y10" s="159"/>
      <c r="Z10" s="159"/>
      <c r="AA10" s="159"/>
      <c r="AB10" s="11"/>
      <c r="AC10" s="160">
        <v>5717057</v>
      </c>
      <c r="AD10" s="160"/>
      <c r="AE10" s="160"/>
      <c r="AF10" s="160"/>
      <c r="AG10" s="160"/>
      <c r="AH10" s="11"/>
      <c r="AI10" s="160">
        <v>11013</v>
      </c>
      <c r="AJ10" s="160"/>
      <c r="AK10" s="160"/>
      <c r="AL10" s="11"/>
      <c r="AM10" s="158" t="s">
        <v>42</v>
      </c>
      <c r="AN10" s="158"/>
      <c r="AO10" s="158"/>
      <c r="AP10" s="11"/>
      <c r="AQ10" s="159">
        <v>0.30150383398490199</v>
      </c>
      <c r="AR10" s="159"/>
      <c r="AS10" s="159"/>
    </row>
    <row r="11" spans="1:49" ht="21.75" customHeight="1" x14ac:dyDescent="0.2">
      <c r="A11" s="163" t="s">
        <v>43</v>
      </c>
      <c r="B11" s="163"/>
      <c r="C11" s="163"/>
      <c r="D11" s="163"/>
      <c r="E11" s="163"/>
      <c r="F11" s="163"/>
      <c r="G11" s="163"/>
      <c r="I11" s="160">
        <v>20000000</v>
      </c>
      <c r="J11" s="160"/>
      <c r="K11" s="160"/>
      <c r="L11" s="11"/>
      <c r="M11" s="160">
        <v>3515</v>
      </c>
      <c r="N11" s="160"/>
      <c r="O11" s="160"/>
      <c r="P11" s="11"/>
      <c r="Q11" s="158" t="s">
        <v>44</v>
      </c>
      <c r="R11" s="158"/>
      <c r="S11" s="158"/>
      <c r="T11" s="158"/>
      <c r="U11" s="158"/>
      <c r="V11" s="11"/>
      <c r="W11" s="159">
        <v>0.20853517438667499</v>
      </c>
      <c r="X11" s="159"/>
      <c r="Y11" s="159"/>
      <c r="Z11" s="159"/>
      <c r="AA11" s="159"/>
      <c r="AB11" s="11"/>
      <c r="AC11" s="160">
        <v>20000000</v>
      </c>
      <c r="AD11" s="160"/>
      <c r="AE11" s="160"/>
      <c r="AF11" s="160"/>
      <c r="AG11" s="160"/>
      <c r="AH11" s="11"/>
      <c r="AI11" s="160">
        <v>3515</v>
      </c>
      <c r="AJ11" s="160"/>
      <c r="AK11" s="160"/>
      <c r="AL11" s="11"/>
      <c r="AM11" s="158" t="s">
        <v>44</v>
      </c>
      <c r="AN11" s="158"/>
      <c r="AO11" s="158"/>
      <c r="AP11" s="11"/>
      <c r="AQ11" s="159">
        <v>0.20853517438667499</v>
      </c>
      <c r="AR11" s="159"/>
      <c r="AS11" s="159"/>
    </row>
    <row r="12" spans="1:49" ht="21.75" customHeight="1" x14ac:dyDescent="0.2">
      <c r="A12" s="163" t="s">
        <v>45</v>
      </c>
      <c r="B12" s="163"/>
      <c r="C12" s="163"/>
      <c r="D12" s="163"/>
      <c r="E12" s="163"/>
      <c r="F12" s="163"/>
      <c r="G12" s="163"/>
      <c r="I12" s="160">
        <v>5000000</v>
      </c>
      <c r="J12" s="160"/>
      <c r="K12" s="160"/>
      <c r="L12" s="11"/>
      <c r="M12" s="160">
        <v>15442</v>
      </c>
      <c r="N12" s="160"/>
      <c r="O12" s="160"/>
      <c r="P12" s="11"/>
      <c r="Q12" s="158" t="s">
        <v>46</v>
      </c>
      <c r="R12" s="158"/>
      <c r="S12" s="158"/>
      <c r="T12" s="158"/>
      <c r="U12" s="158"/>
      <c r="V12" s="11"/>
      <c r="W12" s="159">
        <v>0.24269507702024101</v>
      </c>
      <c r="X12" s="159"/>
      <c r="Y12" s="159"/>
      <c r="Z12" s="159"/>
      <c r="AA12" s="159"/>
      <c r="AB12" s="11"/>
      <c r="AC12" s="160">
        <v>5000000</v>
      </c>
      <c r="AD12" s="160"/>
      <c r="AE12" s="160"/>
      <c r="AF12" s="160"/>
      <c r="AG12" s="160"/>
      <c r="AH12" s="11"/>
      <c r="AI12" s="160">
        <v>15442</v>
      </c>
      <c r="AJ12" s="160"/>
      <c r="AK12" s="160"/>
      <c r="AL12" s="11"/>
      <c r="AM12" s="158" t="s">
        <v>46</v>
      </c>
      <c r="AN12" s="158"/>
      <c r="AO12" s="158"/>
      <c r="AP12" s="11"/>
      <c r="AQ12" s="159">
        <v>0.24269507702024101</v>
      </c>
      <c r="AR12" s="159"/>
      <c r="AS12" s="159"/>
    </row>
    <row r="13" spans="1:49" ht="21.75" customHeight="1" x14ac:dyDescent="0.2">
      <c r="A13" s="163" t="s">
        <v>47</v>
      </c>
      <c r="B13" s="163"/>
      <c r="C13" s="163"/>
      <c r="D13" s="163"/>
      <c r="E13" s="163"/>
      <c r="F13" s="163"/>
      <c r="G13" s="163"/>
      <c r="I13" s="160">
        <v>20000000</v>
      </c>
      <c r="J13" s="160"/>
      <c r="K13" s="160"/>
      <c r="L13" s="11"/>
      <c r="M13" s="160">
        <v>3216</v>
      </c>
      <c r="N13" s="160"/>
      <c r="O13" s="160"/>
      <c r="P13" s="11"/>
      <c r="Q13" s="158" t="s">
        <v>48</v>
      </c>
      <c r="R13" s="158"/>
      <c r="S13" s="158"/>
      <c r="T13" s="158"/>
      <c r="U13" s="158"/>
      <c r="V13" s="11"/>
      <c r="W13" s="159">
        <v>0.15458940482125899</v>
      </c>
      <c r="X13" s="159"/>
      <c r="Y13" s="159"/>
      <c r="Z13" s="159"/>
      <c r="AA13" s="159"/>
      <c r="AB13" s="11"/>
      <c r="AC13" s="160">
        <v>20000000</v>
      </c>
      <c r="AD13" s="160"/>
      <c r="AE13" s="160"/>
      <c r="AF13" s="160"/>
      <c r="AG13" s="160"/>
      <c r="AH13" s="11"/>
      <c r="AI13" s="160">
        <v>3216</v>
      </c>
      <c r="AJ13" s="160"/>
      <c r="AK13" s="160"/>
      <c r="AL13" s="11"/>
      <c r="AM13" s="158" t="s">
        <v>48</v>
      </c>
      <c r="AN13" s="158"/>
      <c r="AO13" s="158"/>
      <c r="AP13" s="11"/>
      <c r="AQ13" s="159">
        <v>0.15458940482125899</v>
      </c>
      <c r="AR13" s="159"/>
      <c r="AS13" s="159"/>
    </row>
    <row r="14" spans="1:49" ht="36.75" customHeight="1" x14ac:dyDescent="0.2">
      <c r="A14" s="164" t="s">
        <v>49</v>
      </c>
      <c r="B14" s="164"/>
      <c r="C14" s="164"/>
      <c r="D14" s="164"/>
      <c r="E14" s="164"/>
      <c r="F14" s="164"/>
      <c r="G14" s="164"/>
      <c r="H14" s="8"/>
      <c r="I14" s="161">
        <v>40000000</v>
      </c>
      <c r="J14" s="161"/>
      <c r="K14" s="161"/>
      <c r="L14" s="28"/>
      <c r="M14" s="161">
        <v>1506</v>
      </c>
      <c r="N14" s="161"/>
      <c r="O14" s="161"/>
      <c r="P14" s="28"/>
      <c r="Q14" s="162" t="s">
        <v>50</v>
      </c>
      <c r="R14" s="162"/>
      <c r="S14" s="162"/>
      <c r="T14" s="162"/>
      <c r="U14" s="162"/>
      <c r="V14" s="28"/>
      <c r="W14" s="165">
        <v>8.4810916580003504E-2</v>
      </c>
      <c r="X14" s="165"/>
      <c r="Y14" s="165"/>
      <c r="Z14" s="165"/>
      <c r="AA14" s="165"/>
      <c r="AB14" s="28"/>
      <c r="AC14" s="161">
        <v>40000000</v>
      </c>
      <c r="AD14" s="161"/>
      <c r="AE14" s="161"/>
      <c r="AF14" s="161"/>
      <c r="AG14" s="161"/>
      <c r="AH14" s="28"/>
      <c r="AI14" s="161">
        <v>1506</v>
      </c>
      <c r="AJ14" s="161"/>
      <c r="AK14" s="161"/>
      <c r="AL14" s="28"/>
      <c r="AM14" s="162" t="s">
        <v>50</v>
      </c>
      <c r="AN14" s="162"/>
      <c r="AO14" s="162"/>
      <c r="AP14" s="11"/>
      <c r="AQ14" s="159">
        <v>8.4810916580003504E-2</v>
      </c>
      <c r="AR14" s="159"/>
      <c r="AS14" s="159"/>
    </row>
    <row r="15" spans="1:49" ht="21.75" customHeight="1" x14ac:dyDescent="0.2">
      <c r="A15" s="8"/>
      <c r="C15" s="8"/>
      <c r="E15" s="8"/>
      <c r="G15" s="8"/>
      <c r="H15" s="8"/>
      <c r="I15" s="8"/>
      <c r="K15" s="8"/>
      <c r="L15" s="8"/>
      <c r="M15" s="8"/>
      <c r="O15" s="8"/>
      <c r="P15" s="8"/>
      <c r="Q15" s="8"/>
      <c r="R15" s="8"/>
      <c r="S15" s="8"/>
      <c r="U15" s="8"/>
      <c r="V15" s="8"/>
      <c r="W15" s="8"/>
      <c r="X15" s="8"/>
      <c r="Y15" s="8"/>
      <c r="AA15" s="8"/>
      <c r="AB15" s="8"/>
      <c r="AC15" s="8"/>
      <c r="AD15" s="8"/>
      <c r="AE15" s="8"/>
      <c r="AG15" s="8"/>
      <c r="AH15" s="8"/>
      <c r="AI15" s="8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</sheetData>
  <sheetProtection algorithmName="SHA-512" hashValue="9NMtNnDbG9G4O6F/Nnh5IAzg0DVUsm+F2YEa95knaElzG4Bof7ulzhuD9fkfR6qyMLqY3hsjGGmNK9KHBB12ow==" saltValue="hYH1IU3PcWvFSkq00bNUhw==" spinCount="100000" sheet="1" objects="1" scenarios="1" selectLockedCells="1" autoFilter="0" selectUnlockedCells="1"/>
  <mergeCells count="82">
    <mergeCell ref="I5:AA5"/>
    <mergeCell ref="AC5:AS5"/>
    <mergeCell ref="A1:AT1"/>
    <mergeCell ref="AU1:AW1"/>
    <mergeCell ref="A2:AT2"/>
    <mergeCell ref="AU2:AW2"/>
    <mergeCell ref="A3:AT3"/>
    <mergeCell ref="AU3:AW3"/>
    <mergeCell ref="A4:Y4"/>
    <mergeCell ref="Z4:AW4"/>
    <mergeCell ref="AC8:AG8"/>
    <mergeCell ref="AI8:AK8"/>
    <mergeCell ref="AM8:AO8"/>
    <mergeCell ref="AQ8:AS8"/>
    <mergeCell ref="A6:G7"/>
    <mergeCell ref="I6:K7"/>
    <mergeCell ref="M6:O7"/>
    <mergeCell ref="Q6:U7"/>
    <mergeCell ref="W6:AA7"/>
    <mergeCell ref="AC6:AG7"/>
    <mergeCell ref="AI6:AK7"/>
    <mergeCell ref="AM6:AO7"/>
    <mergeCell ref="AQ6:AS7"/>
    <mergeCell ref="Q9:U9"/>
    <mergeCell ref="W9:AA9"/>
    <mergeCell ref="A8:G8"/>
    <mergeCell ref="I8:K8"/>
    <mergeCell ref="M8:O8"/>
    <mergeCell ref="Q8:U8"/>
    <mergeCell ref="W8:AA8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9:G9"/>
    <mergeCell ref="I9:K9"/>
    <mergeCell ref="M9:O9"/>
    <mergeCell ref="A11:G11"/>
    <mergeCell ref="I11:K11"/>
    <mergeCell ref="M11:O11"/>
    <mergeCell ref="Q11:U11"/>
    <mergeCell ref="W11:AA11"/>
    <mergeCell ref="A12:G12"/>
    <mergeCell ref="I12:K12"/>
    <mergeCell ref="M12:O12"/>
    <mergeCell ref="Q12:U12"/>
    <mergeCell ref="W12:AA12"/>
    <mergeCell ref="AC14:AG14"/>
    <mergeCell ref="AI14:AK14"/>
    <mergeCell ref="AM14:AO14"/>
    <mergeCell ref="AQ14:AS14"/>
    <mergeCell ref="A13:G13"/>
    <mergeCell ref="I13:K13"/>
    <mergeCell ref="M13:O13"/>
    <mergeCell ref="Q13:U13"/>
    <mergeCell ref="W13:AA13"/>
    <mergeCell ref="A14:G14"/>
    <mergeCell ref="I14:K14"/>
    <mergeCell ref="M14:O14"/>
    <mergeCell ref="Q14:U14"/>
    <mergeCell ref="W14:AA14"/>
    <mergeCell ref="AC13:AG13"/>
    <mergeCell ref="AI13:AK13"/>
    <mergeCell ref="AM13:AO13"/>
    <mergeCell ref="AQ13:AS13"/>
    <mergeCell ref="AC11:AG11"/>
    <mergeCell ref="AI11:AK11"/>
    <mergeCell ref="AM11:AO11"/>
    <mergeCell ref="AQ11:AS11"/>
    <mergeCell ref="AC12:AG12"/>
    <mergeCell ref="AI12:AK12"/>
    <mergeCell ref="AM12:AO12"/>
    <mergeCell ref="AQ12:AS12"/>
  </mergeCells>
  <pageMargins left="0.39" right="0.39" top="0.39" bottom="0.39" header="0" footer="0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A13"/>
  <sheetViews>
    <sheetView rightToLeft="1" view="pageBreakPreview" zoomScale="91" zoomScaleNormal="100" zoomScaleSheetLayoutView="91" workbookViewId="0">
      <selection activeCell="I46" sqref="I46"/>
    </sheetView>
  </sheetViews>
  <sheetFormatPr defaultRowHeight="12.75" x14ac:dyDescent="0.2"/>
  <cols>
    <col min="1" max="1" width="5.140625" customWidth="1"/>
    <col min="2" max="2" width="24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140625" customWidth="1"/>
    <col min="8" max="8" width="1.28515625" customWidth="1"/>
    <col min="9" max="9" width="15" customWidth="1"/>
    <col min="10" max="10" width="1.28515625" customWidth="1"/>
    <col min="11" max="11" width="11.140625" customWidth="1"/>
    <col min="12" max="12" width="1.28515625" customWidth="1"/>
    <col min="13" max="13" width="13.85546875" bestFit="1" customWidth="1"/>
    <col min="14" max="14" width="1.28515625" customWidth="1"/>
    <col min="15" max="15" width="11.5703125" customWidth="1"/>
    <col min="16" max="16" width="1.28515625" customWidth="1"/>
    <col min="17" max="17" width="14.5703125" customWidth="1"/>
    <col min="18" max="18" width="1.28515625" customWidth="1"/>
    <col min="19" max="19" width="12.140625" customWidth="1"/>
    <col min="20" max="20" width="1.28515625" customWidth="1"/>
    <col min="21" max="21" width="13.7109375" customWidth="1"/>
    <col min="22" max="22" width="1.28515625" customWidth="1"/>
    <col min="23" max="23" width="15" customWidth="1"/>
    <col min="24" max="24" width="1.28515625" customWidth="1"/>
    <col min="25" max="25" width="16.28515625" customWidth="1"/>
    <col min="26" max="26" width="1.28515625" customWidth="1"/>
    <col min="27" max="27" width="11.42578125" customWidth="1"/>
    <col min="28" max="28" width="0.28515625" customWidth="1"/>
  </cols>
  <sheetData>
    <row r="1" spans="1:27" ht="29.1" customHeight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 ht="21.75" customHeight="1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 ht="21.75" customHeight="1" x14ac:dyDescent="0.2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1:27" ht="14.45" customHeight="1" x14ac:dyDescent="0.2"/>
    <row r="5" spans="1:27" ht="14.45" customHeight="1" x14ac:dyDescent="0.2">
      <c r="A5" s="29" t="s">
        <v>52</v>
      </c>
      <c r="B5" s="30" t="s">
        <v>53</v>
      </c>
      <c r="C5" s="30"/>
      <c r="D5" s="30"/>
      <c r="E5" s="30"/>
      <c r="F5" s="30"/>
      <c r="G5" s="29"/>
      <c r="H5" s="29"/>
      <c r="I5" s="30"/>
      <c r="J5" s="30"/>
      <c r="K5" s="30"/>
      <c r="L5" s="30"/>
      <c r="M5" s="30"/>
      <c r="N5" s="29"/>
      <c r="O5" s="29"/>
      <c r="P5" s="30"/>
      <c r="Q5" s="30"/>
      <c r="R5" s="30"/>
      <c r="S5" s="30"/>
      <c r="T5" s="30"/>
      <c r="U5" s="29"/>
      <c r="V5" s="29"/>
      <c r="W5" s="30"/>
      <c r="X5" s="30"/>
      <c r="Y5" s="30"/>
      <c r="Z5" s="30"/>
      <c r="AA5" s="30"/>
    </row>
    <row r="6" spans="1:27" ht="18.75" customHeight="1" x14ac:dyDescent="0.2">
      <c r="E6" s="148" t="s">
        <v>7</v>
      </c>
      <c r="F6" s="148"/>
      <c r="G6" s="148"/>
      <c r="H6" s="148"/>
      <c r="I6" s="148"/>
      <c r="K6" s="148" t="s">
        <v>8</v>
      </c>
      <c r="L6" s="148"/>
      <c r="M6" s="148"/>
      <c r="N6" s="148"/>
      <c r="O6" s="148"/>
      <c r="P6" s="148"/>
      <c r="Q6" s="148"/>
      <c r="S6" s="148" t="s">
        <v>9</v>
      </c>
      <c r="T6" s="148"/>
      <c r="U6" s="148"/>
      <c r="V6" s="148"/>
      <c r="W6" s="148"/>
      <c r="X6" s="148"/>
      <c r="Y6" s="148"/>
      <c r="Z6" s="148"/>
      <c r="AA6" s="148"/>
    </row>
    <row r="7" spans="1:27" ht="14.45" customHeight="1" x14ac:dyDescent="0.2">
      <c r="A7" s="147" t="s">
        <v>56</v>
      </c>
      <c r="B7" s="147"/>
      <c r="D7" s="147" t="s">
        <v>57</v>
      </c>
      <c r="E7" s="147"/>
      <c r="F7" s="2"/>
      <c r="G7" s="170" t="s">
        <v>14</v>
      </c>
      <c r="H7" s="2"/>
      <c r="I7" s="170" t="s">
        <v>15</v>
      </c>
      <c r="K7" s="176" t="s">
        <v>54</v>
      </c>
      <c r="L7" s="176"/>
      <c r="M7" s="176"/>
      <c r="N7" s="2"/>
      <c r="O7" s="176" t="s">
        <v>55</v>
      </c>
      <c r="P7" s="176"/>
      <c r="Q7" s="176"/>
      <c r="S7" s="170" t="s">
        <v>13</v>
      </c>
      <c r="T7" s="2"/>
      <c r="U7" s="178" t="s">
        <v>58</v>
      </c>
      <c r="V7" s="2"/>
      <c r="W7" s="170" t="s">
        <v>14</v>
      </c>
      <c r="X7" s="2"/>
      <c r="Y7" s="170" t="s">
        <v>15</v>
      </c>
      <c r="Z7" s="2"/>
      <c r="AA7" s="178" t="s">
        <v>18</v>
      </c>
    </row>
    <row r="8" spans="1:27" ht="24" customHeight="1" x14ac:dyDescent="0.2">
      <c r="A8" s="148"/>
      <c r="B8" s="148"/>
      <c r="D8" s="148"/>
      <c r="E8" s="148"/>
      <c r="G8" s="148"/>
      <c r="I8" s="148"/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48"/>
      <c r="U8" s="179"/>
      <c r="W8" s="148"/>
      <c r="Y8" s="148"/>
      <c r="AA8" s="179"/>
    </row>
    <row r="9" spans="1:27" ht="21.75" customHeight="1" x14ac:dyDescent="0.2">
      <c r="A9" s="166" t="s">
        <v>59</v>
      </c>
      <c r="B9" s="166"/>
      <c r="D9" s="177">
        <v>2000000</v>
      </c>
      <c r="E9" s="177"/>
      <c r="G9" s="31">
        <v>20023200000</v>
      </c>
      <c r="I9" s="31">
        <v>19976250000</v>
      </c>
      <c r="K9" s="31" t="s">
        <v>215</v>
      </c>
      <c r="M9" s="31" t="s">
        <v>215</v>
      </c>
      <c r="O9" s="35">
        <v>0</v>
      </c>
      <c r="Q9" s="31" t="s">
        <v>215</v>
      </c>
      <c r="S9" s="31">
        <v>2000000</v>
      </c>
      <c r="U9" s="31">
        <v>9900</v>
      </c>
      <c r="W9" s="31">
        <v>20023200000</v>
      </c>
      <c r="Y9" s="31">
        <v>19776487500</v>
      </c>
      <c r="AA9" s="36">
        <v>0.11</v>
      </c>
    </row>
    <row r="10" spans="1:27" ht="21.75" customHeight="1" x14ac:dyDescent="0.2">
      <c r="A10" s="163" t="s">
        <v>60</v>
      </c>
      <c r="B10" s="163"/>
      <c r="D10" s="174">
        <v>100260</v>
      </c>
      <c r="E10" s="174"/>
      <c r="G10" s="32">
        <v>31690324770</v>
      </c>
      <c r="I10" s="32">
        <v>31326990510.2962</v>
      </c>
      <c r="K10" s="32">
        <v>333087</v>
      </c>
      <c r="M10" s="32">
        <v>95937079109</v>
      </c>
      <c r="O10" s="35">
        <v>-333087</v>
      </c>
      <c r="Q10" s="32">
        <v>98210518758</v>
      </c>
      <c r="S10" s="32">
        <v>100260</v>
      </c>
      <c r="U10" s="32">
        <v>295472</v>
      </c>
      <c r="W10" s="32">
        <v>29528122983</v>
      </c>
      <c r="Y10" s="32">
        <v>29588844193.02</v>
      </c>
      <c r="AA10" s="36">
        <v>0.16</v>
      </c>
    </row>
    <row r="11" spans="1:27" ht="21.75" customHeight="1" x14ac:dyDescent="0.2">
      <c r="A11" s="163" t="s">
        <v>61</v>
      </c>
      <c r="B11" s="163"/>
      <c r="D11" s="174">
        <v>5310571</v>
      </c>
      <c r="E11" s="174"/>
      <c r="G11" s="32">
        <v>58477913312</v>
      </c>
      <c r="I11" s="32">
        <v>75213532103.863998</v>
      </c>
      <c r="K11" s="32" t="s">
        <v>215</v>
      </c>
      <c r="M11" s="32" t="s">
        <v>215</v>
      </c>
      <c r="O11" s="32" t="s">
        <v>215</v>
      </c>
      <c r="Q11" s="32" t="s">
        <v>215</v>
      </c>
      <c r="S11" s="32">
        <v>5310571</v>
      </c>
      <c r="U11" s="32">
        <v>15029</v>
      </c>
      <c r="W11" s="32">
        <v>58477913312</v>
      </c>
      <c r="Y11" s="32">
        <v>79716796473.129196</v>
      </c>
      <c r="AA11" s="36">
        <v>0.43</v>
      </c>
    </row>
    <row r="12" spans="1:27" ht="21.75" customHeight="1" x14ac:dyDescent="0.2">
      <c r="A12" s="164" t="s">
        <v>62</v>
      </c>
      <c r="B12" s="164"/>
      <c r="D12" s="175">
        <v>996669</v>
      </c>
      <c r="E12" s="175"/>
      <c r="G12" s="33">
        <v>9978251360</v>
      </c>
      <c r="I12" s="33">
        <v>10313229319.627501</v>
      </c>
      <c r="K12" s="34" t="s">
        <v>215</v>
      </c>
      <c r="M12" s="33" t="s">
        <v>215</v>
      </c>
      <c r="O12" s="35">
        <v>0</v>
      </c>
      <c r="Q12" s="33" t="s">
        <v>215</v>
      </c>
      <c r="S12" s="34">
        <v>996669</v>
      </c>
      <c r="U12" s="34">
        <v>10050</v>
      </c>
      <c r="W12" s="33">
        <v>9978251360</v>
      </c>
      <c r="Y12" s="33">
        <v>10004628828.403099</v>
      </c>
      <c r="AA12" s="36">
        <v>0.05</v>
      </c>
    </row>
    <row r="13" spans="1:27" ht="21.75" customHeight="1" x14ac:dyDescent="0.2">
      <c r="A13" s="140"/>
      <c r="B13" s="140"/>
      <c r="D13" s="173"/>
      <c r="E13" s="173"/>
      <c r="G13" s="38">
        <v>120169689442</v>
      </c>
      <c r="I13" s="38">
        <v>136830001933.78799</v>
      </c>
      <c r="K13" s="9"/>
      <c r="M13" s="38">
        <v>95937079109</v>
      </c>
      <c r="O13" s="9"/>
      <c r="Q13" s="38">
        <v>98210518758</v>
      </c>
      <c r="S13" s="9"/>
      <c r="U13" s="9"/>
      <c r="W13" s="38">
        <v>118007487655</v>
      </c>
      <c r="Y13" s="38">
        <v>139086756994.552</v>
      </c>
      <c r="AA13" s="37">
        <v>0.75</v>
      </c>
    </row>
  </sheetData>
  <sheetProtection algorithmName="SHA-512" hashValue="vewgc5+mpG6r/GndtUikj7JvGejxdzu5CwxbXGUKoTlFlLW25kfg3vOsGWA+UmNVLIVO0vBVXtJbjhJU9WJZMA==" saltValue="qkWOpxlwoM4lTE/KaY+yUQ==" spinCount="100000" sheet="1" objects="1" scenarios="1" selectLockedCells="1" autoFilter="0" selectUnlockedCells="1"/>
  <mergeCells count="27">
    <mergeCell ref="K7:M7"/>
    <mergeCell ref="O7:Q7"/>
    <mergeCell ref="A9:B9"/>
    <mergeCell ref="D9:E9"/>
    <mergeCell ref="A1:AA1"/>
    <mergeCell ref="A2:AA2"/>
    <mergeCell ref="A3:AA3"/>
    <mergeCell ref="E6:I6"/>
    <mergeCell ref="K6:Q6"/>
    <mergeCell ref="S6:AA6"/>
    <mergeCell ref="AA7:AA8"/>
    <mergeCell ref="Y7:Y8"/>
    <mergeCell ref="W7:W8"/>
    <mergeCell ref="U7:U8"/>
    <mergeCell ref="S7:S8"/>
    <mergeCell ref="A13:B13"/>
    <mergeCell ref="D13:E13"/>
    <mergeCell ref="A7:B8"/>
    <mergeCell ref="I7:I8"/>
    <mergeCell ref="G7:G8"/>
    <mergeCell ref="D7:E8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L30"/>
  <sheetViews>
    <sheetView rightToLeft="1" view="pageBreakPreview" topLeftCell="C1" zoomScale="96" zoomScaleNormal="100" zoomScaleSheetLayoutView="96" workbookViewId="0">
      <selection activeCell="J43" sqref="J4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0.5703125" customWidth="1"/>
    <col min="5" max="5" width="1.28515625" customWidth="1"/>
    <col min="6" max="6" width="14.7109375" customWidth="1"/>
    <col min="7" max="7" width="1.28515625" customWidth="1"/>
    <col min="8" max="8" width="15.42578125" customWidth="1"/>
    <col min="9" max="9" width="1.28515625" customWidth="1"/>
    <col min="10" max="10" width="12.85546875" customWidth="1"/>
    <col min="11" max="11" width="1.28515625" customWidth="1"/>
    <col min="12" max="12" width="12.28515625" customWidth="1"/>
    <col min="13" max="13" width="1.28515625" customWidth="1"/>
    <col min="14" max="14" width="12" customWidth="1"/>
    <col min="15" max="15" width="1.28515625" customWidth="1"/>
    <col min="16" max="16" width="12" customWidth="1"/>
    <col min="17" max="17" width="1.28515625" customWidth="1"/>
    <col min="18" max="18" width="19" bestFit="1" customWidth="1"/>
    <col min="19" max="19" width="1.28515625" customWidth="1"/>
    <col min="20" max="20" width="19" bestFit="1" customWidth="1"/>
    <col min="21" max="21" width="1.28515625" customWidth="1"/>
    <col min="22" max="22" width="10.7109375" customWidth="1"/>
    <col min="23" max="23" width="1.28515625" customWidth="1"/>
    <col min="24" max="24" width="12.28515625" customWidth="1"/>
    <col min="25" max="25" width="1.28515625" customWidth="1"/>
    <col min="26" max="26" width="9" customWidth="1"/>
    <col min="27" max="27" width="1.28515625" customWidth="1"/>
    <col min="28" max="28" width="14.140625" customWidth="1"/>
    <col min="29" max="29" width="1.28515625" customWidth="1"/>
    <col min="30" max="30" width="13.5703125" customWidth="1"/>
    <col min="31" max="31" width="1.28515625" customWidth="1"/>
    <col min="32" max="32" width="15.140625" customWidth="1"/>
    <col min="33" max="33" width="1.28515625" customWidth="1"/>
    <col min="34" max="34" width="17.5703125" customWidth="1"/>
    <col min="35" max="35" width="1.28515625" customWidth="1"/>
    <col min="36" max="36" width="18.85546875" bestFit="1" customWidth="1"/>
    <col min="37" max="37" width="1.28515625" customWidth="1"/>
    <col min="38" max="38" width="11.28515625" customWidth="1"/>
    <col min="39" max="39" width="0.28515625" customWidth="1"/>
  </cols>
  <sheetData>
    <row r="1" spans="1:38" ht="22.5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21.75" customHeight="1" x14ac:dyDescent="0.2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1:38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</row>
    <row r="4" spans="1:38" ht="14.45" customHeight="1" x14ac:dyDescent="0.2"/>
    <row r="5" spans="1:38" ht="18.75" customHeight="1" x14ac:dyDescent="0.2">
      <c r="A5" s="29" t="s">
        <v>63</v>
      </c>
      <c r="B5" s="30" t="s">
        <v>64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ht="14.45" customHeight="1" x14ac:dyDescent="0.2">
      <c r="A6" s="147" t="s">
        <v>65</v>
      </c>
      <c r="B6" s="14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3" t="s">
        <v>7</v>
      </c>
      <c r="Q6" s="183"/>
      <c r="R6" s="183"/>
      <c r="S6" s="183"/>
      <c r="T6" s="183"/>
      <c r="V6" s="183" t="s">
        <v>8</v>
      </c>
      <c r="W6" s="183"/>
      <c r="X6" s="183"/>
      <c r="Y6" s="183"/>
      <c r="Z6" s="183"/>
      <c r="AA6" s="183"/>
      <c r="AB6" s="183"/>
      <c r="AD6" s="183" t="s">
        <v>9</v>
      </c>
      <c r="AE6" s="183"/>
      <c r="AF6" s="183"/>
      <c r="AG6" s="183"/>
      <c r="AH6" s="183"/>
      <c r="AI6" s="183"/>
      <c r="AJ6" s="183"/>
      <c r="AK6" s="183"/>
      <c r="AL6" s="183"/>
    </row>
    <row r="7" spans="1:38" ht="14.45" customHeight="1" x14ac:dyDescent="0.2">
      <c r="A7" s="147" t="s">
        <v>66</v>
      </c>
      <c r="B7" s="147"/>
      <c r="C7" s="2"/>
      <c r="D7" s="180" t="s">
        <v>67</v>
      </c>
      <c r="E7" s="2"/>
      <c r="F7" s="180" t="s">
        <v>68</v>
      </c>
      <c r="G7" s="2"/>
      <c r="H7" s="182" t="s">
        <v>69</v>
      </c>
      <c r="I7" s="2"/>
      <c r="J7" s="182" t="s">
        <v>70</v>
      </c>
      <c r="K7" s="2"/>
      <c r="L7" s="182" t="s">
        <v>71</v>
      </c>
      <c r="M7" s="2"/>
      <c r="N7" s="182" t="s">
        <v>36</v>
      </c>
      <c r="O7" s="2"/>
      <c r="P7" s="182" t="s">
        <v>13</v>
      </c>
      <c r="Q7" s="2"/>
      <c r="R7" s="182" t="s">
        <v>14</v>
      </c>
      <c r="S7" s="2"/>
      <c r="T7" s="182" t="s">
        <v>15</v>
      </c>
      <c r="V7" s="185" t="s">
        <v>10</v>
      </c>
      <c r="W7" s="185"/>
      <c r="X7" s="185"/>
      <c r="Y7" s="2"/>
      <c r="Z7" s="185" t="s">
        <v>11</v>
      </c>
      <c r="AA7" s="185"/>
      <c r="AB7" s="185"/>
      <c r="AD7" s="182" t="s">
        <v>13</v>
      </c>
      <c r="AE7" s="2"/>
      <c r="AF7" s="182" t="s">
        <v>17</v>
      </c>
      <c r="AG7" s="2"/>
      <c r="AH7" s="182" t="s">
        <v>14</v>
      </c>
      <c r="AI7" s="2"/>
      <c r="AJ7" s="180" t="s">
        <v>15</v>
      </c>
      <c r="AK7" s="2"/>
      <c r="AL7" s="180" t="s">
        <v>18</v>
      </c>
    </row>
    <row r="8" spans="1:38" ht="25.5" customHeight="1" x14ac:dyDescent="0.2">
      <c r="A8" s="184"/>
      <c r="B8" s="184"/>
      <c r="D8" s="181"/>
      <c r="F8" s="181"/>
      <c r="H8" s="183"/>
      <c r="J8" s="183"/>
      <c r="L8" s="183"/>
      <c r="N8" s="183"/>
      <c r="P8" s="183"/>
      <c r="R8" s="183"/>
      <c r="T8" s="183"/>
      <c r="V8" s="41" t="s">
        <v>13</v>
      </c>
      <c r="W8" s="2"/>
      <c r="X8" s="41" t="s">
        <v>14</v>
      </c>
      <c r="Z8" s="41" t="s">
        <v>13</v>
      </c>
      <c r="AA8" s="2"/>
      <c r="AB8" s="41" t="s">
        <v>16</v>
      </c>
      <c r="AD8" s="183"/>
      <c r="AF8" s="183"/>
      <c r="AH8" s="183"/>
      <c r="AJ8" s="181"/>
      <c r="AL8" s="181"/>
    </row>
    <row r="9" spans="1:38" ht="21.75" customHeight="1" x14ac:dyDescent="0.2">
      <c r="A9" s="163" t="s">
        <v>72</v>
      </c>
      <c r="B9" s="163"/>
      <c r="D9" s="47" t="s">
        <v>73</v>
      </c>
      <c r="F9" s="47" t="s">
        <v>73</v>
      </c>
      <c r="H9" s="48" t="s">
        <v>74</v>
      </c>
      <c r="J9" s="47" t="s">
        <v>75</v>
      </c>
      <c r="L9" s="45" t="s">
        <v>215</v>
      </c>
      <c r="N9" s="16" t="s">
        <v>215</v>
      </c>
      <c r="P9" s="32">
        <v>17275</v>
      </c>
      <c r="R9" s="32">
        <v>14717364619</v>
      </c>
      <c r="T9" s="31">
        <v>14974710341</v>
      </c>
      <c r="V9" s="16" t="s">
        <v>215</v>
      </c>
      <c r="X9" s="16" t="s">
        <v>215</v>
      </c>
      <c r="Z9" s="32" t="s">
        <v>215</v>
      </c>
      <c r="AB9" s="32" t="s">
        <v>215</v>
      </c>
      <c r="AD9" s="32">
        <v>17275</v>
      </c>
      <c r="AF9" s="32">
        <v>893990</v>
      </c>
      <c r="AH9" s="32">
        <v>14717364619</v>
      </c>
      <c r="AJ9" s="32">
        <v>15440878083</v>
      </c>
      <c r="AL9" s="51">
        <v>0.08</v>
      </c>
    </row>
    <row r="10" spans="1:38" ht="21.75" customHeight="1" x14ac:dyDescent="0.2">
      <c r="A10" s="163" t="s">
        <v>76</v>
      </c>
      <c r="B10" s="163"/>
      <c r="D10" s="47" t="s">
        <v>73</v>
      </c>
      <c r="F10" s="47" t="s">
        <v>73</v>
      </c>
      <c r="H10" s="47" t="s">
        <v>77</v>
      </c>
      <c r="J10" s="47" t="s">
        <v>78</v>
      </c>
      <c r="L10" s="50" t="s">
        <v>215</v>
      </c>
      <c r="N10" s="50" t="s">
        <v>215</v>
      </c>
      <c r="P10" s="32">
        <v>71600</v>
      </c>
      <c r="R10" s="32">
        <v>50014503485</v>
      </c>
      <c r="T10" s="32">
        <v>56408426119</v>
      </c>
      <c r="V10" s="17" t="s">
        <v>215</v>
      </c>
      <c r="X10" s="17" t="s">
        <v>215</v>
      </c>
      <c r="Z10" s="32" t="s">
        <v>215</v>
      </c>
      <c r="AB10" s="32" t="s">
        <v>215</v>
      </c>
      <c r="AD10" s="32">
        <v>71600</v>
      </c>
      <c r="AF10" s="32">
        <v>807500</v>
      </c>
      <c r="AH10" s="32">
        <v>50014503485</v>
      </c>
      <c r="AJ10" s="32">
        <v>57806520668</v>
      </c>
      <c r="AL10" s="50">
        <v>0.31</v>
      </c>
    </row>
    <row r="11" spans="1:38" ht="21.75" customHeight="1" x14ac:dyDescent="0.2">
      <c r="A11" s="163" t="s">
        <v>79</v>
      </c>
      <c r="B11" s="163"/>
      <c r="D11" s="47" t="s">
        <v>73</v>
      </c>
      <c r="F11" s="47" t="s">
        <v>73</v>
      </c>
      <c r="H11" s="47" t="s">
        <v>80</v>
      </c>
      <c r="J11" s="47" t="s">
        <v>81</v>
      </c>
      <c r="L11" s="50" t="s">
        <v>215</v>
      </c>
      <c r="N11" s="50" t="s">
        <v>215</v>
      </c>
      <c r="P11" s="32">
        <v>21826</v>
      </c>
      <c r="R11" s="32">
        <v>18846066902</v>
      </c>
      <c r="T11" s="32">
        <v>19046280035</v>
      </c>
      <c r="V11" s="17" t="s">
        <v>215</v>
      </c>
      <c r="X11" s="17" t="s">
        <v>215</v>
      </c>
      <c r="Z11" s="32" t="s">
        <v>215</v>
      </c>
      <c r="AB11" s="32" t="s">
        <v>215</v>
      </c>
      <c r="AD11" s="32">
        <v>21826</v>
      </c>
      <c r="AF11" s="32">
        <v>900980</v>
      </c>
      <c r="AH11" s="32">
        <v>18846066902</v>
      </c>
      <c r="AJ11" s="32">
        <v>19661225236</v>
      </c>
      <c r="AL11" s="50">
        <v>0.11</v>
      </c>
    </row>
    <row r="12" spans="1:38" ht="21.75" customHeight="1" x14ac:dyDescent="0.2">
      <c r="A12" s="164" t="s">
        <v>82</v>
      </c>
      <c r="B12" s="164"/>
      <c r="D12" s="47" t="s">
        <v>73</v>
      </c>
      <c r="F12" s="47" t="s">
        <v>73</v>
      </c>
      <c r="H12" s="47" t="s">
        <v>83</v>
      </c>
      <c r="J12" s="47" t="s">
        <v>84</v>
      </c>
      <c r="L12" s="50" t="s">
        <v>215</v>
      </c>
      <c r="N12" s="50" t="s">
        <v>215</v>
      </c>
      <c r="P12" s="32">
        <v>49516</v>
      </c>
      <c r="R12" s="32">
        <v>44951034578</v>
      </c>
      <c r="T12" s="32">
        <v>45526660396</v>
      </c>
      <c r="V12" s="17" t="s">
        <v>215</v>
      </c>
      <c r="X12" s="17" t="s">
        <v>215</v>
      </c>
      <c r="Z12" s="32" t="s">
        <v>215</v>
      </c>
      <c r="AB12" s="32" t="s">
        <v>215</v>
      </c>
      <c r="AD12" s="32">
        <v>49516</v>
      </c>
      <c r="AF12" s="32">
        <v>950000</v>
      </c>
      <c r="AH12" s="32">
        <v>44951034578</v>
      </c>
      <c r="AJ12" s="32">
        <v>47031673963</v>
      </c>
      <c r="AL12" s="50">
        <v>0.25</v>
      </c>
    </row>
    <row r="13" spans="1:38" ht="21.75" customHeight="1" x14ac:dyDescent="0.2">
      <c r="A13" s="163" t="s">
        <v>85</v>
      </c>
      <c r="B13" s="163"/>
      <c r="D13" s="47" t="s">
        <v>73</v>
      </c>
      <c r="F13" s="47" t="s">
        <v>73</v>
      </c>
      <c r="H13" s="47" t="s">
        <v>86</v>
      </c>
      <c r="J13" s="47" t="s">
        <v>87</v>
      </c>
      <c r="L13" s="50" t="s">
        <v>215</v>
      </c>
      <c r="N13" s="50" t="s">
        <v>215</v>
      </c>
      <c r="P13" s="32">
        <v>3000</v>
      </c>
      <c r="R13" s="32">
        <v>2657731625</v>
      </c>
      <c r="T13" s="32">
        <v>2950865058</v>
      </c>
      <c r="V13" s="17" t="s">
        <v>215</v>
      </c>
      <c r="X13" s="17" t="s">
        <v>215</v>
      </c>
      <c r="Z13" s="32">
        <v>3000</v>
      </c>
      <c r="AB13" s="32">
        <v>3000000000</v>
      </c>
      <c r="AD13" s="32" t="s">
        <v>215</v>
      </c>
      <c r="AF13" s="32" t="s">
        <v>215</v>
      </c>
      <c r="AH13" s="32" t="s">
        <v>215</v>
      </c>
      <c r="AJ13" s="32" t="s">
        <v>215</v>
      </c>
      <c r="AL13" s="50" t="s">
        <v>215</v>
      </c>
    </row>
    <row r="14" spans="1:38" ht="21.75" customHeight="1" x14ac:dyDescent="0.2">
      <c r="A14" s="163" t="s">
        <v>88</v>
      </c>
      <c r="B14" s="163"/>
      <c r="D14" s="47" t="s">
        <v>73</v>
      </c>
      <c r="F14" s="47" t="s">
        <v>73</v>
      </c>
      <c r="H14" s="49" t="s">
        <v>83</v>
      </c>
      <c r="J14" s="47" t="s">
        <v>48</v>
      </c>
      <c r="L14" s="50" t="s">
        <v>215</v>
      </c>
      <c r="N14" s="50" t="s">
        <v>215</v>
      </c>
      <c r="P14" s="32">
        <v>33051</v>
      </c>
      <c r="R14" s="32">
        <v>31313997565</v>
      </c>
      <c r="T14" s="32">
        <v>31670998010</v>
      </c>
      <c r="V14" s="17" t="s">
        <v>215</v>
      </c>
      <c r="X14" s="17" t="s">
        <v>215</v>
      </c>
      <c r="Z14" s="32" t="s">
        <v>215</v>
      </c>
      <c r="AB14" s="32" t="s">
        <v>215</v>
      </c>
      <c r="AD14" s="32">
        <v>33051</v>
      </c>
      <c r="AF14" s="32">
        <v>981470</v>
      </c>
      <c r="AH14" s="32">
        <v>31313997565</v>
      </c>
      <c r="AJ14" s="32">
        <v>32432685480</v>
      </c>
      <c r="AL14" s="50">
        <v>0.17</v>
      </c>
    </row>
    <row r="15" spans="1:38" ht="21.75" customHeight="1" x14ac:dyDescent="0.2">
      <c r="A15" s="163" t="s">
        <v>89</v>
      </c>
      <c r="B15" s="163"/>
      <c r="D15" s="47" t="s">
        <v>73</v>
      </c>
      <c r="F15" s="47" t="s">
        <v>73</v>
      </c>
      <c r="H15" s="49" t="s">
        <v>90</v>
      </c>
      <c r="J15" s="47" t="s">
        <v>91</v>
      </c>
      <c r="L15" s="50" t="s">
        <v>215</v>
      </c>
      <c r="N15" s="32" t="s">
        <v>215</v>
      </c>
      <c r="P15" s="32">
        <v>57874</v>
      </c>
      <c r="R15" s="32">
        <v>52881534125</v>
      </c>
      <c r="T15" s="32">
        <v>53523747062</v>
      </c>
      <c r="V15" s="17" t="s">
        <v>215</v>
      </c>
      <c r="X15" s="17" t="s">
        <v>215</v>
      </c>
      <c r="Z15" s="32" t="s">
        <v>215</v>
      </c>
      <c r="AB15" s="32" t="s">
        <v>215</v>
      </c>
      <c r="AD15" s="32">
        <v>57874</v>
      </c>
      <c r="AF15" s="32">
        <v>950000</v>
      </c>
      <c r="AH15" s="32">
        <v>52881534125</v>
      </c>
      <c r="AJ15" s="32">
        <v>54970334820</v>
      </c>
      <c r="AL15" s="50">
        <v>0.3</v>
      </c>
    </row>
    <row r="16" spans="1:38" ht="21.75" customHeight="1" x14ac:dyDescent="0.2">
      <c r="A16" s="163" t="s">
        <v>92</v>
      </c>
      <c r="B16" s="163"/>
      <c r="D16" s="47" t="s">
        <v>73</v>
      </c>
      <c r="F16" s="47" t="s">
        <v>73</v>
      </c>
      <c r="H16" s="47" t="s">
        <v>93</v>
      </c>
      <c r="J16" s="47" t="s">
        <v>94</v>
      </c>
      <c r="L16" s="50" t="s">
        <v>215</v>
      </c>
      <c r="N16" s="32" t="s">
        <v>215</v>
      </c>
      <c r="P16" s="32">
        <v>14722</v>
      </c>
      <c r="R16" s="32">
        <v>13087667039</v>
      </c>
      <c r="T16" s="32">
        <v>13393855823</v>
      </c>
      <c r="V16" s="17" t="s">
        <v>215</v>
      </c>
      <c r="X16" s="17" t="s">
        <v>215</v>
      </c>
      <c r="Z16" s="32" t="s">
        <v>215</v>
      </c>
      <c r="AB16" s="32" t="s">
        <v>215</v>
      </c>
      <c r="AD16" s="32">
        <v>14722</v>
      </c>
      <c r="AF16" s="32">
        <v>934230</v>
      </c>
      <c r="AH16" s="32">
        <v>13087667039</v>
      </c>
      <c r="AJ16" s="32">
        <v>13751241195</v>
      </c>
      <c r="AL16" s="50">
        <v>7.0000000000000007E-2</v>
      </c>
    </row>
    <row r="17" spans="1:38" ht="21.75" customHeight="1" x14ac:dyDescent="0.2">
      <c r="A17" s="163" t="s">
        <v>95</v>
      </c>
      <c r="B17" s="163"/>
      <c r="D17" s="47" t="s">
        <v>73</v>
      </c>
      <c r="F17" s="47" t="s">
        <v>73</v>
      </c>
      <c r="H17" s="47" t="s">
        <v>96</v>
      </c>
      <c r="J17" s="47" t="s">
        <v>97</v>
      </c>
      <c r="L17" s="32" t="s">
        <v>215</v>
      </c>
      <c r="N17" s="32" t="s">
        <v>215</v>
      </c>
      <c r="P17" s="32">
        <v>11314</v>
      </c>
      <c r="R17" s="32">
        <v>10049690768</v>
      </c>
      <c r="T17" s="32">
        <v>10198627283</v>
      </c>
      <c r="V17" s="17" t="s">
        <v>215</v>
      </c>
      <c r="X17" s="17" t="s">
        <v>215</v>
      </c>
      <c r="Z17" s="32" t="s">
        <v>215</v>
      </c>
      <c r="AB17" s="32" t="s">
        <v>215</v>
      </c>
      <c r="AD17" s="32">
        <v>11314</v>
      </c>
      <c r="AF17" s="32">
        <v>929860</v>
      </c>
      <c r="AH17" s="32">
        <v>10049690768</v>
      </c>
      <c r="AJ17" s="32">
        <v>10518529210</v>
      </c>
      <c r="AL17" s="50">
        <v>0.06</v>
      </c>
    </row>
    <row r="18" spans="1:38" ht="21.75" customHeight="1" x14ac:dyDescent="0.2">
      <c r="A18" s="163" t="s">
        <v>98</v>
      </c>
      <c r="B18" s="163"/>
      <c r="D18" s="47" t="s">
        <v>73</v>
      </c>
      <c r="F18" s="47" t="s">
        <v>73</v>
      </c>
      <c r="H18" s="47" t="s">
        <v>99</v>
      </c>
      <c r="J18" s="47" t="s">
        <v>40</v>
      </c>
      <c r="L18" s="32">
        <v>16</v>
      </c>
      <c r="N18" s="32">
        <v>16</v>
      </c>
      <c r="P18" s="32">
        <v>1386965</v>
      </c>
      <c r="R18" s="32">
        <v>1300799350842</v>
      </c>
      <c r="T18" s="32">
        <v>1374169401254</v>
      </c>
      <c r="V18" s="17" t="s">
        <v>215</v>
      </c>
      <c r="X18" s="17" t="s">
        <v>215</v>
      </c>
      <c r="Z18" s="32" t="s">
        <v>215</v>
      </c>
      <c r="AB18" s="32" t="s">
        <v>215</v>
      </c>
      <c r="AD18" s="32">
        <v>1386965</v>
      </c>
      <c r="AF18" s="32">
        <v>998966</v>
      </c>
      <c r="AH18" s="32">
        <v>1300799350842</v>
      </c>
      <c r="AJ18" s="32">
        <v>1385279750718</v>
      </c>
      <c r="AL18" s="50">
        <v>7.46</v>
      </c>
    </row>
    <row r="19" spans="1:38" ht="21.75" customHeight="1" x14ac:dyDescent="0.2">
      <c r="A19" s="163" t="s">
        <v>100</v>
      </c>
      <c r="B19" s="163"/>
      <c r="D19" s="47" t="s">
        <v>73</v>
      </c>
      <c r="F19" s="47" t="s">
        <v>73</v>
      </c>
      <c r="H19" s="47" t="s">
        <v>101</v>
      </c>
      <c r="J19" s="47" t="s">
        <v>102</v>
      </c>
      <c r="L19" s="32">
        <v>18</v>
      </c>
      <c r="N19" s="32">
        <v>18</v>
      </c>
      <c r="P19" s="32">
        <v>3433289</v>
      </c>
      <c r="R19" s="32">
        <v>3265017519369</v>
      </c>
      <c r="T19" s="32">
        <v>3375632958876</v>
      </c>
      <c r="V19" s="17" t="s">
        <v>215</v>
      </c>
      <c r="X19" s="17" t="s">
        <v>215</v>
      </c>
      <c r="Z19" s="32" t="s">
        <v>215</v>
      </c>
      <c r="AB19" s="32" t="s">
        <v>215</v>
      </c>
      <c r="AD19" s="32">
        <v>3433289</v>
      </c>
      <c r="AF19" s="32">
        <v>990253</v>
      </c>
      <c r="AH19" s="32">
        <v>3265017519369</v>
      </c>
      <c r="AJ19" s="32">
        <v>3399208513884</v>
      </c>
      <c r="AL19" s="50">
        <v>18.3</v>
      </c>
    </row>
    <row r="20" spans="1:38" ht="21.75" customHeight="1" x14ac:dyDescent="0.2">
      <c r="A20" s="163" t="s">
        <v>103</v>
      </c>
      <c r="B20" s="163"/>
      <c r="D20" s="47" t="s">
        <v>73</v>
      </c>
      <c r="F20" s="47" t="s">
        <v>73</v>
      </c>
      <c r="H20" s="49" t="s">
        <v>104</v>
      </c>
      <c r="J20" s="47" t="s">
        <v>105</v>
      </c>
      <c r="L20" s="32">
        <v>23</v>
      </c>
      <c r="N20" s="32">
        <v>23</v>
      </c>
      <c r="P20" s="32">
        <v>1500000</v>
      </c>
      <c r="R20" s="32">
        <v>1500160000000</v>
      </c>
      <c r="T20" s="32">
        <v>1499728125000</v>
      </c>
      <c r="V20" s="17" t="s">
        <v>215</v>
      </c>
      <c r="X20" s="17" t="s">
        <v>215</v>
      </c>
      <c r="Z20" s="32" t="s">
        <v>215</v>
      </c>
      <c r="AB20" s="32" t="s">
        <v>215</v>
      </c>
      <c r="AD20" s="32">
        <v>1500000</v>
      </c>
      <c r="AF20" s="32">
        <v>1000000</v>
      </c>
      <c r="AH20" s="32">
        <v>1500160000000</v>
      </c>
      <c r="AJ20" s="32">
        <v>1499728125000</v>
      </c>
      <c r="AL20" s="52">
        <v>8.07</v>
      </c>
    </row>
    <row r="21" spans="1:38" ht="21.75" customHeight="1" x14ac:dyDescent="0.2">
      <c r="A21" s="163" t="s">
        <v>106</v>
      </c>
      <c r="B21" s="163"/>
      <c r="D21" s="47" t="s">
        <v>73</v>
      </c>
      <c r="F21" s="47" t="s">
        <v>73</v>
      </c>
      <c r="H21" s="49" t="s">
        <v>107</v>
      </c>
      <c r="J21" s="47" t="s">
        <v>108</v>
      </c>
      <c r="L21" s="32">
        <v>23</v>
      </c>
      <c r="N21" s="32">
        <v>23</v>
      </c>
      <c r="P21" s="32">
        <v>526865</v>
      </c>
      <c r="R21" s="32">
        <v>500020153650</v>
      </c>
      <c r="T21" s="32">
        <v>499909528622</v>
      </c>
      <c r="V21" s="17" t="s">
        <v>215</v>
      </c>
      <c r="X21" s="17" t="s">
        <v>215</v>
      </c>
      <c r="Z21" s="32" t="s">
        <v>215</v>
      </c>
      <c r="AB21" s="32" t="s">
        <v>215</v>
      </c>
      <c r="AD21" s="32">
        <v>526865</v>
      </c>
      <c r="AF21" s="32">
        <v>901686</v>
      </c>
      <c r="AH21" s="32">
        <v>500020153650</v>
      </c>
      <c r="AJ21" s="32">
        <v>474980688533</v>
      </c>
      <c r="AL21" s="52">
        <v>2.56</v>
      </c>
    </row>
    <row r="22" spans="1:38" ht="21.75" customHeight="1" x14ac:dyDescent="0.2">
      <c r="A22" s="164" t="s">
        <v>109</v>
      </c>
      <c r="B22" s="164"/>
      <c r="D22" s="47" t="s">
        <v>73</v>
      </c>
      <c r="F22" s="47" t="s">
        <v>73</v>
      </c>
      <c r="H22" s="47" t="s">
        <v>110</v>
      </c>
      <c r="J22" s="47" t="s">
        <v>111</v>
      </c>
      <c r="L22" s="32">
        <v>20.5</v>
      </c>
      <c r="N22" s="32">
        <v>20.5</v>
      </c>
      <c r="P22" s="32">
        <v>2100000</v>
      </c>
      <c r="R22" s="32">
        <v>2003959482000</v>
      </c>
      <c r="T22" s="32">
        <v>2071033057209</v>
      </c>
      <c r="V22" s="17" t="s">
        <v>215</v>
      </c>
      <c r="X22" s="17" t="s">
        <v>215</v>
      </c>
      <c r="Z22" s="32" t="s">
        <v>215</v>
      </c>
      <c r="AB22" s="32" t="s">
        <v>215</v>
      </c>
      <c r="AD22" s="32">
        <v>2100000</v>
      </c>
      <c r="AF22" s="32">
        <v>990648</v>
      </c>
      <c r="AH22" s="32">
        <v>2003959482000</v>
      </c>
      <c r="AJ22" s="32">
        <v>2079983734605</v>
      </c>
      <c r="AL22" s="50">
        <v>11.2</v>
      </c>
    </row>
    <row r="23" spans="1:38" ht="21.75" customHeight="1" x14ac:dyDescent="0.2">
      <c r="A23" s="163" t="s">
        <v>112</v>
      </c>
      <c r="B23" s="163"/>
      <c r="D23" s="47" t="s">
        <v>73</v>
      </c>
      <c r="F23" s="47" t="s">
        <v>73</v>
      </c>
      <c r="H23" s="47" t="s">
        <v>113</v>
      </c>
      <c r="J23" s="47" t="s">
        <v>114</v>
      </c>
      <c r="L23" s="32">
        <v>23</v>
      </c>
      <c r="N23" s="32">
        <v>23</v>
      </c>
      <c r="P23" s="32">
        <v>500000</v>
      </c>
      <c r="R23" s="32">
        <v>500000000000</v>
      </c>
      <c r="T23" s="32">
        <v>499909375000</v>
      </c>
      <c r="V23" s="17" t="s">
        <v>215</v>
      </c>
      <c r="X23" s="17" t="s">
        <v>215</v>
      </c>
      <c r="Z23" s="32" t="s">
        <v>215</v>
      </c>
      <c r="AB23" s="32" t="s">
        <v>215</v>
      </c>
      <c r="AD23" s="32">
        <v>500000</v>
      </c>
      <c r="AF23" s="32">
        <v>1000000</v>
      </c>
      <c r="AH23" s="32">
        <v>500000000000</v>
      </c>
      <c r="AJ23" s="32">
        <v>499909375000</v>
      </c>
      <c r="AL23" s="50">
        <v>2.69</v>
      </c>
    </row>
    <row r="24" spans="1:38" ht="21.75" customHeight="1" x14ac:dyDescent="0.2">
      <c r="A24" s="163" t="s">
        <v>115</v>
      </c>
      <c r="B24" s="163"/>
      <c r="D24" s="47" t="s">
        <v>73</v>
      </c>
      <c r="F24" s="47" t="s">
        <v>73</v>
      </c>
      <c r="H24" s="47" t="s">
        <v>116</v>
      </c>
      <c r="J24" s="47" t="s">
        <v>117</v>
      </c>
      <c r="L24" s="32">
        <v>18</v>
      </c>
      <c r="N24" s="32">
        <v>18</v>
      </c>
      <c r="P24" s="32">
        <v>3440000</v>
      </c>
      <c r="R24" s="32">
        <v>3259480000000</v>
      </c>
      <c r="T24" s="32">
        <v>3364831453739</v>
      </c>
      <c r="V24" s="17" t="s">
        <v>215</v>
      </c>
      <c r="X24" s="17" t="s">
        <v>215</v>
      </c>
      <c r="Z24" s="32" t="s">
        <v>215</v>
      </c>
      <c r="AB24" s="32" t="s">
        <v>215</v>
      </c>
      <c r="AD24" s="32">
        <v>3440000</v>
      </c>
      <c r="AF24" s="32">
        <v>993257</v>
      </c>
      <c r="AH24" s="32">
        <v>3259480000000</v>
      </c>
      <c r="AJ24" s="32">
        <v>3416184784260</v>
      </c>
      <c r="AL24" s="50">
        <v>18.39</v>
      </c>
    </row>
    <row r="25" spans="1:38" ht="21.75" customHeight="1" x14ac:dyDescent="0.2">
      <c r="A25" s="163" t="s">
        <v>118</v>
      </c>
      <c r="B25" s="163"/>
      <c r="D25" s="47" t="s">
        <v>73</v>
      </c>
      <c r="F25" s="47" t="s">
        <v>73</v>
      </c>
      <c r="H25" s="47" t="s">
        <v>119</v>
      </c>
      <c r="J25" s="47" t="s">
        <v>120</v>
      </c>
      <c r="L25" s="32">
        <v>18</v>
      </c>
      <c r="N25" s="32">
        <v>18</v>
      </c>
      <c r="P25" s="32">
        <v>1000</v>
      </c>
      <c r="R25" s="32">
        <v>1000181250</v>
      </c>
      <c r="T25" s="32">
        <v>943039043</v>
      </c>
      <c r="V25" s="17" t="s">
        <v>215</v>
      </c>
      <c r="X25" s="17" t="s">
        <v>215</v>
      </c>
      <c r="Z25" s="32" t="s">
        <v>215</v>
      </c>
      <c r="AB25" s="32" t="s">
        <v>215</v>
      </c>
      <c r="AD25" s="32">
        <v>1000</v>
      </c>
      <c r="AF25" s="32">
        <v>943210</v>
      </c>
      <c r="AH25" s="32">
        <v>1000181250</v>
      </c>
      <c r="AJ25" s="32">
        <v>943039043</v>
      </c>
      <c r="AL25" s="50">
        <v>0.01</v>
      </c>
    </row>
    <row r="26" spans="1:38" ht="21.75" customHeight="1" x14ac:dyDescent="0.2">
      <c r="A26" s="163" t="s">
        <v>121</v>
      </c>
      <c r="B26" s="163"/>
      <c r="D26" s="47" t="s">
        <v>73</v>
      </c>
      <c r="F26" s="47" t="s">
        <v>73</v>
      </c>
      <c r="H26" s="47" t="s">
        <v>122</v>
      </c>
      <c r="J26" s="47" t="s">
        <v>123</v>
      </c>
      <c r="L26" s="32">
        <v>18</v>
      </c>
      <c r="N26" s="32">
        <v>18</v>
      </c>
      <c r="P26" s="32">
        <v>20000</v>
      </c>
      <c r="R26" s="32">
        <v>20003625000</v>
      </c>
      <c r="T26" s="32">
        <v>19996375000</v>
      </c>
      <c r="V26" s="17" t="s">
        <v>215</v>
      </c>
      <c r="X26" s="17" t="s">
        <v>215</v>
      </c>
      <c r="Z26" s="32" t="s">
        <v>215</v>
      </c>
      <c r="AB26" s="32" t="s">
        <v>215</v>
      </c>
      <c r="AD26" s="32">
        <v>20000</v>
      </c>
      <c r="AF26" s="32">
        <v>1000000</v>
      </c>
      <c r="AH26" s="32">
        <v>20003625000</v>
      </c>
      <c r="AJ26" s="32">
        <v>19996375000</v>
      </c>
      <c r="AL26" s="50">
        <v>0.11</v>
      </c>
    </row>
    <row r="27" spans="1:38" ht="21.75" customHeight="1" x14ac:dyDescent="0.2">
      <c r="A27" s="147"/>
      <c r="B27" s="147"/>
      <c r="D27" s="9"/>
      <c r="F27" s="9"/>
      <c r="H27" s="9"/>
      <c r="J27" s="9"/>
      <c r="L27" s="9"/>
      <c r="N27" s="9"/>
      <c r="P27" s="38">
        <v>13188297</v>
      </c>
      <c r="R27" s="38">
        <v>12588959902817</v>
      </c>
      <c r="T27" s="38">
        <v>12953847483870</v>
      </c>
      <c r="V27" s="9"/>
      <c r="X27" s="38" t="s">
        <v>215</v>
      </c>
      <c r="Z27" s="9"/>
      <c r="AB27" s="38">
        <v>3000000000</v>
      </c>
      <c r="AD27" s="9"/>
      <c r="AF27" s="9"/>
      <c r="AH27" s="38">
        <v>12586302171192</v>
      </c>
      <c r="AJ27" s="38">
        <v>13027827474698</v>
      </c>
      <c r="AL27" s="53">
        <v>70.14</v>
      </c>
    </row>
    <row r="30" spans="1:38" ht="19.5" x14ac:dyDescent="0.2">
      <c r="AH30" s="54"/>
    </row>
  </sheetData>
  <sheetProtection algorithmName="SHA-512" hashValue="F4BYF2j62osikQMTJIyBxzl1WF8k4AOhXXwe00hJf9ytfkoSh1mj/jCOM38ZUlhYot2Ol66/KFsM6cI2+Dt3Vg==" saltValue="WiqWFPOxz2HlXIN6oAk/yQ==" spinCount="100000" sheet="1" objects="1" scenarios="1" selectLockedCells="1" autoFilter="0" selectUnlockedCells="1"/>
  <mergeCells count="43">
    <mergeCell ref="A1:AL1"/>
    <mergeCell ref="A2:AL2"/>
    <mergeCell ref="A3:AL3"/>
    <mergeCell ref="A6:O6"/>
    <mergeCell ref="P6:T6"/>
    <mergeCell ref="V6:AB6"/>
    <mergeCell ref="AD6:AL6"/>
    <mergeCell ref="Z7:AB7"/>
    <mergeCell ref="A9:B9"/>
    <mergeCell ref="A10:B10"/>
    <mergeCell ref="P7:P8"/>
    <mergeCell ref="N7:N8"/>
    <mergeCell ref="L7:L8"/>
    <mergeCell ref="J7:J8"/>
    <mergeCell ref="H7:H8"/>
    <mergeCell ref="T7:T8"/>
    <mergeCell ref="R7:R8"/>
    <mergeCell ref="A12:B12"/>
    <mergeCell ref="A13:B13"/>
    <mergeCell ref="A14:B14"/>
    <mergeCell ref="A15:B15"/>
    <mergeCell ref="V7:X7"/>
    <mergeCell ref="A26:B26"/>
    <mergeCell ref="A27:B27"/>
    <mergeCell ref="A7:B8"/>
    <mergeCell ref="F7:F8"/>
    <mergeCell ref="D7:D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L7:AL8"/>
    <mergeCell ref="AJ7:AJ8"/>
    <mergeCell ref="AH7:AH8"/>
    <mergeCell ref="AF7:AF8"/>
    <mergeCell ref="AD7:AD8"/>
  </mergeCells>
  <pageMargins left="0.39" right="0.39" top="0.39" bottom="0.39" header="0" footer="0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M14"/>
  <sheetViews>
    <sheetView rightToLeft="1" view="pageBreakPreview" zoomScale="95" zoomScaleNormal="100" zoomScaleSheetLayoutView="95" workbookViewId="0">
      <selection activeCell="A20" sqref="A20"/>
    </sheetView>
  </sheetViews>
  <sheetFormatPr defaultRowHeight="12.75" x14ac:dyDescent="0.2"/>
  <cols>
    <col min="1" max="1" width="29" customWidth="1"/>
    <col min="2" max="2" width="1.28515625" customWidth="1"/>
    <col min="3" max="3" width="14.28515625" customWidth="1"/>
    <col min="4" max="4" width="1.28515625" customWidth="1"/>
    <col min="5" max="5" width="14.28515625" customWidth="1"/>
    <col min="6" max="6" width="1.28515625" customWidth="1"/>
    <col min="7" max="7" width="13" customWidth="1"/>
    <col min="8" max="8" width="1.28515625" customWidth="1"/>
    <col min="9" max="9" width="12.140625" customWidth="1"/>
    <col min="10" max="10" width="1.28515625" customWidth="1"/>
    <col min="11" max="11" width="23.42578125" customWidth="1"/>
    <col min="12" max="12" width="1.28515625" customWidth="1"/>
    <col min="13" max="13" width="18.7109375" customWidth="1"/>
    <col min="14" max="14" width="0.28515625" customWidth="1"/>
  </cols>
  <sheetData>
    <row r="1" spans="1:13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1.75" customHeight="1" x14ac:dyDescent="0.2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ht="14.45" customHeight="1" x14ac:dyDescent="0.2">
      <c r="A4" s="188" t="s">
        <v>124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3" ht="14.45" customHeight="1" x14ac:dyDescent="0.2">
      <c r="A5" s="188" t="s">
        <v>125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14.45" customHeight="1" x14ac:dyDescent="0.2"/>
    <row r="7" spans="1:13" ht="14.45" customHeight="1" x14ac:dyDescent="0.2">
      <c r="A7" s="147" t="s">
        <v>126</v>
      </c>
      <c r="C7" s="148" t="s">
        <v>9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3" ht="27" customHeight="1" x14ac:dyDescent="0.2">
      <c r="A8" s="148"/>
      <c r="C8" s="41" t="s">
        <v>13</v>
      </c>
      <c r="D8" s="2"/>
      <c r="E8" s="41" t="s">
        <v>127</v>
      </c>
      <c r="F8" s="2"/>
      <c r="G8" s="41" t="s">
        <v>128</v>
      </c>
      <c r="H8" s="2"/>
      <c r="I8" s="41" t="s">
        <v>129</v>
      </c>
      <c r="J8" s="2"/>
      <c r="K8" s="41" t="s">
        <v>130</v>
      </c>
      <c r="L8" s="2"/>
      <c r="M8" s="41" t="s">
        <v>131</v>
      </c>
    </row>
    <row r="9" spans="1:13" ht="21.75" customHeight="1" x14ac:dyDescent="0.2">
      <c r="A9" s="55" t="s">
        <v>98</v>
      </c>
      <c r="C9" s="16">
        <v>1386965</v>
      </c>
      <c r="D9" s="11"/>
      <c r="E9" s="16">
        <v>980850</v>
      </c>
      <c r="F9" s="11"/>
      <c r="G9" s="16">
        <v>998966</v>
      </c>
      <c r="H9" s="11"/>
      <c r="I9" s="58" t="s">
        <v>132</v>
      </c>
      <c r="J9" s="11"/>
      <c r="K9" s="16">
        <v>1385279750718</v>
      </c>
      <c r="M9" s="42" t="s">
        <v>133</v>
      </c>
    </row>
    <row r="10" spans="1:13" ht="21.75" customHeight="1" x14ac:dyDescent="0.2">
      <c r="A10" s="56" t="s">
        <v>100</v>
      </c>
      <c r="C10" s="17">
        <v>3433289</v>
      </c>
      <c r="D10" s="11"/>
      <c r="E10" s="17">
        <v>986500</v>
      </c>
      <c r="F10" s="11"/>
      <c r="G10" s="17">
        <v>990253</v>
      </c>
      <c r="H10" s="11"/>
      <c r="I10" s="59" t="s">
        <v>134</v>
      </c>
      <c r="J10" s="11"/>
      <c r="K10" s="17">
        <v>3399208513884</v>
      </c>
      <c r="M10" s="43" t="s">
        <v>133</v>
      </c>
    </row>
    <row r="11" spans="1:13" ht="21.75" customHeight="1" x14ac:dyDescent="0.2">
      <c r="A11" s="56" t="s">
        <v>115</v>
      </c>
      <c r="C11" s="17">
        <v>3440000</v>
      </c>
      <c r="D11" s="11"/>
      <c r="E11" s="17">
        <v>966450</v>
      </c>
      <c r="F11" s="11"/>
      <c r="G11" s="17">
        <v>993257</v>
      </c>
      <c r="H11" s="11"/>
      <c r="I11" s="58" t="s">
        <v>135</v>
      </c>
      <c r="J11" s="11"/>
      <c r="K11" s="17">
        <v>3416184784260</v>
      </c>
      <c r="M11" s="43" t="s">
        <v>133</v>
      </c>
    </row>
    <row r="12" spans="1:13" ht="21.75" customHeight="1" x14ac:dyDescent="0.2">
      <c r="A12" s="56" t="s">
        <v>109</v>
      </c>
      <c r="C12" s="17">
        <v>2100000</v>
      </c>
      <c r="D12" s="11"/>
      <c r="E12" s="17">
        <v>962000</v>
      </c>
      <c r="F12" s="11"/>
      <c r="G12" s="17">
        <v>990648</v>
      </c>
      <c r="H12" s="11"/>
      <c r="I12" s="58" t="s">
        <v>136</v>
      </c>
      <c r="J12" s="11"/>
      <c r="K12" s="17">
        <v>2079983734605</v>
      </c>
      <c r="M12" s="43" t="s">
        <v>133</v>
      </c>
    </row>
    <row r="13" spans="1:13" ht="21.75" customHeight="1" x14ac:dyDescent="0.2">
      <c r="A13" s="57" t="s">
        <v>106</v>
      </c>
      <c r="C13" s="18">
        <v>526865</v>
      </c>
      <c r="D13" s="11"/>
      <c r="E13" s="18">
        <v>972990</v>
      </c>
      <c r="F13" s="11"/>
      <c r="G13" s="18">
        <v>901686</v>
      </c>
      <c r="H13" s="11"/>
      <c r="I13" s="58" t="s">
        <v>137</v>
      </c>
      <c r="J13" s="11"/>
      <c r="K13" s="18">
        <v>474980688533</v>
      </c>
      <c r="M13" s="44" t="s">
        <v>133</v>
      </c>
    </row>
    <row r="14" spans="1:13" ht="21.75" customHeight="1" x14ac:dyDescent="0.2">
      <c r="A14" s="20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</row>
  </sheetData>
  <sheetProtection algorithmName="SHA-512" hashValue="tC1xXdKUhMhVdFt5GQmcpcAVh/V6D315TL+svxUoPuRQT7wwYOIeHgaupWZBKpY8fQwsd8RZ3DoMXQla2M3QOA==" saltValue="ceVZTHs56PXs2KmJRqEnQw==" spinCount="100000" sheet="1" objects="1" scenarios="1" selectLockedCells="1" autoFilter="0" selectUnlockedCells="1"/>
  <mergeCells count="7">
    <mergeCell ref="C7:M7"/>
    <mergeCell ref="A7:A8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O30"/>
  <sheetViews>
    <sheetView rightToLeft="1" view="pageBreakPreview" zoomScale="98" zoomScaleNormal="100" zoomScaleSheetLayoutView="98" workbookViewId="0">
      <selection activeCell="B20" sqref="B20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7.5703125" bestFit="1" customWidth="1"/>
    <col min="5" max="5" width="1.28515625" customWidth="1"/>
    <col min="6" max="6" width="17.85546875" bestFit="1" customWidth="1"/>
    <col min="7" max="7" width="1.28515625" customWidth="1"/>
    <col min="8" max="8" width="18.42578125" bestFit="1" customWidth="1"/>
    <col min="9" max="9" width="1.28515625" customWidth="1"/>
    <col min="10" max="10" width="17.85546875" bestFit="1" customWidth="1"/>
    <col min="11" max="11" width="1.28515625" customWidth="1"/>
    <col min="12" max="12" width="12.28515625" customWidth="1"/>
    <col min="13" max="13" width="0.28515625" customWidth="1"/>
  </cols>
  <sheetData>
    <row r="1" spans="1:15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5" ht="21.75" customHeight="1" x14ac:dyDescent="0.2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5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5" ht="14.45" customHeight="1" x14ac:dyDescent="0.2"/>
    <row r="5" spans="1:15" ht="18.75" customHeight="1" x14ac:dyDescent="0.2">
      <c r="A5" s="29" t="s">
        <v>138</v>
      </c>
      <c r="B5" s="195" t="s">
        <v>139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spans="1:15" ht="19.5" customHeight="1" x14ac:dyDescent="0.2">
      <c r="D6" s="1" t="s">
        <v>7</v>
      </c>
      <c r="F6" s="187" t="s">
        <v>8</v>
      </c>
      <c r="G6" s="187"/>
      <c r="H6" s="187"/>
      <c r="J6" s="20" t="s">
        <v>9</v>
      </c>
    </row>
    <row r="7" spans="1:15" ht="14.45" customHeight="1" x14ac:dyDescent="0.2">
      <c r="A7" s="147" t="s">
        <v>216</v>
      </c>
      <c r="B7" s="147"/>
      <c r="D7" s="170" t="s">
        <v>140</v>
      </c>
      <c r="F7" s="170" t="s">
        <v>141</v>
      </c>
      <c r="G7" s="2"/>
      <c r="H7" s="170" t="s">
        <v>142</v>
      </c>
      <c r="J7" s="191" t="s">
        <v>140</v>
      </c>
      <c r="K7" s="61"/>
      <c r="L7" s="189" t="s">
        <v>18</v>
      </c>
    </row>
    <row r="8" spans="1:15" ht="22.5" customHeight="1" x14ac:dyDescent="0.2">
      <c r="A8" s="184"/>
      <c r="B8" s="184"/>
      <c r="D8" s="147"/>
      <c r="F8" s="184"/>
      <c r="H8" s="184"/>
      <c r="J8" s="184"/>
      <c r="K8" s="8"/>
      <c r="L8" s="190"/>
    </row>
    <row r="9" spans="1:15" ht="21.75" customHeight="1" x14ac:dyDescent="0.2">
      <c r="A9" s="194" t="s">
        <v>217</v>
      </c>
      <c r="B9" s="194"/>
      <c r="C9" s="64"/>
      <c r="D9" s="65">
        <v>749849130709</v>
      </c>
      <c r="E9" s="64"/>
      <c r="F9" s="65">
        <v>460772922540</v>
      </c>
      <c r="G9" s="64"/>
      <c r="H9" s="65">
        <v>532857199109</v>
      </c>
      <c r="I9" s="64"/>
      <c r="J9" s="65">
        <v>677764854140</v>
      </c>
      <c r="K9" s="64"/>
      <c r="L9" s="68">
        <v>3.65</v>
      </c>
      <c r="O9" s="63"/>
    </row>
    <row r="10" spans="1:15" ht="21.75" customHeight="1" x14ac:dyDescent="0.2">
      <c r="A10" s="192" t="s">
        <v>218</v>
      </c>
      <c r="B10" s="192"/>
      <c r="C10" s="64"/>
      <c r="D10" s="66">
        <v>123878</v>
      </c>
      <c r="E10" s="64"/>
      <c r="F10" s="66" t="s">
        <v>215</v>
      </c>
      <c r="G10" s="64"/>
      <c r="H10" s="66">
        <v>600</v>
      </c>
      <c r="I10" s="64"/>
      <c r="J10" s="66">
        <v>123278</v>
      </c>
      <c r="K10" s="64"/>
      <c r="L10" s="69" t="s">
        <v>215</v>
      </c>
    </row>
    <row r="11" spans="1:15" ht="21.75" customHeight="1" x14ac:dyDescent="0.2">
      <c r="A11" s="192" t="s">
        <v>219</v>
      </c>
      <c r="B11" s="192"/>
      <c r="C11" s="64"/>
      <c r="D11" s="66">
        <v>3435427</v>
      </c>
      <c r="E11" s="64"/>
      <c r="F11" s="66">
        <v>64319</v>
      </c>
      <c r="G11" s="64"/>
      <c r="H11" s="66" t="s">
        <v>215</v>
      </c>
      <c r="I11" s="64"/>
      <c r="J11" s="66">
        <v>3499746</v>
      </c>
      <c r="K11" s="64"/>
      <c r="L11" s="69" t="s">
        <v>215</v>
      </c>
    </row>
    <row r="12" spans="1:15" ht="21.75" customHeight="1" x14ac:dyDescent="0.2">
      <c r="A12" s="192" t="s">
        <v>220</v>
      </c>
      <c r="B12" s="192"/>
      <c r="C12" s="64"/>
      <c r="D12" s="66">
        <v>1054092568886</v>
      </c>
      <c r="E12" s="64"/>
      <c r="F12" s="66">
        <v>6896226569186</v>
      </c>
      <c r="G12" s="64"/>
      <c r="H12" s="66">
        <v>5334500336065</v>
      </c>
      <c r="I12" s="64"/>
      <c r="J12" s="66">
        <v>2615818802007</v>
      </c>
      <c r="K12" s="64"/>
      <c r="L12" s="68">
        <v>14.09</v>
      </c>
    </row>
    <row r="13" spans="1:15" ht="21.75" customHeight="1" x14ac:dyDescent="0.2">
      <c r="A13" s="192" t="s">
        <v>221</v>
      </c>
      <c r="B13" s="192"/>
      <c r="C13" s="64"/>
      <c r="D13" s="66">
        <v>330617198934</v>
      </c>
      <c r="E13" s="64"/>
      <c r="F13" s="66">
        <v>955844548246</v>
      </c>
      <c r="G13" s="64"/>
      <c r="H13" s="66">
        <v>478000190810</v>
      </c>
      <c r="I13" s="64"/>
      <c r="J13" s="66">
        <v>808461556370</v>
      </c>
      <c r="K13" s="64"/>
      <c r="L13" s="68">
        <v>4.3600000000000003</v>
      </c>
    </row>
    <row r="14" spans="1:15" ht="21.75" customHeight="1" x14ac:dyDescent="0.2">
      <c r="A14" s="192" t="s">
        <v>222</v>
      </c>
      <c r="B14" s="192"/>
      <c r="C14" s="64"/>
      <c r="D14" s="66">
        <v>1486143</v>
      </c>
      <c r="E14" s="64"/>
      <c r="F14" s="66">
        <v>6267</v>
      </c>
      <c r="G14" s="64"/>
      <c r="H14" s="66" t="s">
        <v>215</v>
      </c>
      <c r="I14" s="64"/>
      <c r="J14" s="66">
        <v>1492410</v>
      </c>
      <c r="K14" s="64"/>
      <c r="L14" s="69" t="s">
        <v>215</v>
      </c>
    </row>
    <row r="15" spans="1:15" ht="21.75" customHeight="1" x14ac:dyDescent="0.2">
      <c r="A15" s="193" t="s">
        <v>239</v>
      </c>
      <c r="B15" s="193"/>
      <c r="C15" s="64"/>
      <c r="D15" s="32">
        <v>816837</v>
      </c>
      <c r="E15" s="64"/>
      <c r="F15" s="32">
        <v>3459</v>
      </c>
      <c r="G15" s="64"/>
      <c r="H15" s="67" t="s">
        <v>215</v>
      </c>
      <c r="I15" s="64"/>
      <c r="J15" s="67">
        <v>820296</v>
      </c>
      <c r="K15" s="64"/>
      <c r="L15" s="69" t="s">
        <v>215</v>
      </c>
    </row>
    <row r="16" spans="1:15" ht="21.75" customHeight="1" thickBot="1" x14ac:dyDescent="0.25">
      <c r="A16" s="140"/>
      <c r="B16" s="140"/>
      <c r="D16" s="70">
        <f>SUM(D9:D15)</f>
        <v>2134564760814</v>
      </c>
      <c r="F16" s="70">
        <f>SUM(F9:F15)</f>
        <v>8312844114017</v>
      </c>
      <c r="H16" s="70">
        <f>SUM(H9:H15)</f>
        <v>6345357726584</v>
      </c>
      <c r="J16" s="70">
        <f>SUM(J9:J15)</f>
        <v>4102051148247</v>
      </c>
      <c r="L16" s="71">
        <f>SUM(L9:L15)</f>
        <v>22.099999999999998</v>
      </c>
    </row>
    <row r="17" spans="4:10" ht="21.75" customHeight="1" thickTop="1" x14ac:dyDescent="0.2"/>
    <row r="18" spans="4:10" ht="21.75" customHeight="1" x14ac:dyDescent="0.2"/>
    <row r="19" spans="4:10" ht="21.75" customHeight="1" x14ac:dyDescent="0.2"/>
    <row r="20" spans="4:10" ht="21.75" customHeight="1" x14ac:dyDescent="0.2">
      <c r="D20" s="62"/>
      <c r="F20" s="62"/>
      <c r="H20" s="62"/>
      <c r="J20" s="62"/>
    </row>
    <row r="21" spans="4:10" ht="21.75" customHeight="1" x14ac:dyDescent="0.2"/>
    <row r="22" spans="4:10" ht="21.75" customHeight="1" x14ac:dyDescent="0.2"/>
    <row r="23" spans="4:10" ht="21.75" customHeight="1" x14ac:dyDescent="0.2"/>
    <row r="24" spans="4:10" ht="21.75" customHeight="1" x14ac:dyDescent="0.2"/>
    <row r="25" spans="4:10" ht="21.75" customHeight="1" x14ac:dyDescent="0.2"/>
    <row r="26" spans="4:10" ht="21.75" customHeight="1" x14ac:dyDescent="0.2"/>
    <row r="27" spans="4:10" ht="21.75" customHeight="1" x14ac:dyDescent="0.2"/>
    <row r="28" spans="4:10" ht="21.75" customHeight="1" x14ac:dyDescent="0.2"/>
    <row r="29" spans="4:10" ht="21.75" customHeight="1" x14ac:dyDescent="0.2"/>
    <row r="30" spans="4:10" ht="21.75" customHeight="1" x14ac:dyDescent="0.2"/>
  </sheetData>
  <sheetProtection algorithmName="SHA-512" hashValue="GCOQkz8UsX99ZBOLGlqmEqN24JDHx/RzvxbLSxauzTenasTBYQwTcmhoDYljthl49ydAlesi7ggSzfzRMHnqtQ==" saltValue="IzR5CjwDrxIpBXig4mhBmQ==" spinCount="100000" sheet="1" objects="1" scenarios="1" selectLockedCells="1" autoFilter="0" selectUnlockedCells="1"/>
  <mergeCells count="19">
    <mergeCell ref="A1:L1"/>
    <mergeCell ref="A2:L2"/>
    <mergeCell ref="A3:L3"/>
    <mergeCell ref="B5:L5"/>
    <mergeCell ref="F6:H6"/>
    <mergeCell ref="L7:L8"/>
    <mergeCell ref="A16:B16"/>
    <mergeCell ref="A7:B8"/>
    <mergeCell ref="J7:J8"/>
    <mergeCell ref="H7:H8"/>
    <mergeCell ref="F7:F8"/>
    <mergeCell ref="D7:D8"/>
    <mergeCell ref="A13:B13"/>
    <mergeCell ref="A14:B14"/>
    <mergeCell ref="A15:B15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O13"/>
  <sheetViews>
    <sheetView rightToLeft="1" view="pageBreakPreview" zoomScaleNormal="100" zoomScaleSheetLayoutView="100" workbookViewId="0">
      <selection activeCell="F21" sqref="F21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0.710937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42578125" bestFit="1" customWidth="1"/>
    <col min="15" max="15" width="17.5703125" bestFit="1" customWidth="1"/>
  </cols>
  <sheetData>
    <row r="1" spans="1:15" ht="29.1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5" ht="21.75" customHeight="1" x14ac:dyDescent="0.2">
      <c r="A2" s="196" t="s">
        <v>143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5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5" ht="14.45" customHeight="1" x14ac:dyDescent="0.2"/>
    <row r="5" spans="1:15" ht="27.75" customHeight="1" x14ac:dyDescent="0.2">
      <c r="A5" s="29" t="s">
        <v>144</v>
      </c>
      <c r="B5" s="29" t="s">
        <v>145</v>
      </c>
      <c r="C5" s="195"/>
      <c r="D5" s="195"/>
      <c r="E5" s="195"/>
      <c r="F5" s="195"/>
      <c r="G5" s="195"/>
      <c r="H5" s="195"/>
      <c r="I5" s="195"/>
      <c r="J5" s="195"/>
    </row>
    <row r="6" spans="1:15" ht="14.45" customHeight="1" x14ac:dyDescent="0.2"/>
    <row r="7" spans="1:15" ht="19.5" customHeight="1" x14ac:dyDescent="0.2">
      <c r="A7" s="187" t="s">
        <v>146</v>
      </c>
      <c r="B7" s="187"/>
      <c r="D7" s="1" t="s">
        <v>147</v>
      </c>
      <c r="F7" s="1" t="s">
        <v>140</v>
      </c>
      <c r="H7" s="1" t="s">
        <v>148</v>
      </c>
      <c r="J7" s="1" t="s">
        <v>149</v>
      </c>
    </row>
    <row r="8" spans="1:15" ht="21.75" customHeight="1" x14ac:dyDescent="0.2">
      <c r="A8" s="166" t="s">
        <v>150</v>
      </c>
      <c r="B8" s="166"/>
      <c r="D8" s="42" t="s">
        <v>151</v>
      </c>
      <c r="F8" s="97">
        <f>'درآمد سرمایه گذاری در سهام'!U21</f>
        <v>49592039023</v>
      </c>
      <c r="H8" s="72">
        <v>2.56</v>
      </c>
      <c r="J8" s="72">
        <v>0.27</v>
      </c>
      <c r="M8" s="123"/>
      <c r="N8" s="123"/>
    </row>
    <row r="9" spans="1:15" ht="21.75" customHeight="1" x14ac:dyDescent="0.2">
      <c r="A9" s="163" t="s">
        <v>152</v>
      </c>
      <c r="B9" s="163"/>
      <c r="D9" s="43" t="s">
        <v>153</v>
      </c>
      <c r="F9" s="90">
        <f>'درآمد سرمایه گذاری در صندوق'!U13</f>
        <v>16062245927</v>
      </c>
      <c r="H9" s="72">
        <v>0.83</v>
      </c>
      <c r="J9" s="72">
        <v>0.09</v>
      </c>
      <c r="M9" s="123"/>
      <c r="N9" s="123"/>
      <c r="O9" s="62"/>
    </row>
    <row r="10" spans="1:15" ht="21.75" customHeight="1" x14ac:dyDescent="0.2">
      <c r="A10" s="163" t="s">
        <v>154</v>
      </c>
      <c r="B10" s="163"/>
      <c r="D10" s="43" t="s">
        <v>155</v>
      </c>
      <c r="F10" s="90">
        <f>'درآمد سرمایه گذاری در اوراق به'!R29</f>
        <v>1489429269454</v>
      </c>
      <c r="H10" s="72">
        <v>77.03</v>
      </c>
      <c r="J10" s="72">
        <v>8.02</v>
      </c>
      <c r="M10" s="123"/>
      <c r="N10" s="123"/>
    </row>
    <row r="11" spans="1:15" ht="21.75" customHeight="1" x14ac:dyDescent="0.2">
      <c r="A11" s="164" t="s">
        <v>156</v>
      </c>
      <c r="B11" s="164"/>
      <c r="D11" s="43" t="s">
        <v>157</v>
      </c>
      <c r="F11" s="90">
        <f>'درآمد سپرده بانکی'!H14</f>
        <v>378557199647</v>
      </c>
      <c r="H11" s="72">
        <v>19.579999999999998</v>
      </c>
      <c r="J11" s="72">
        <v>2.04</v>
      </c>
      <c r="M11" s="123"/>
      <c r="N11" s="123"/>
    </row>
    <row r="12" spans="1:15" ht="21.75" customHeight="1" x14ac:dyDescent="0.2">
      <c r="A12" s="163" t="s">
        <v>158</v>
      </c>
      <c r="B12" s="163"/>
      <c r="D12" s="44" t="s">
        <v>159</v>
      </c>
      <c r="F12" s="90">
        <f>'سایر درآمدها'!F10</f>
        <v>46314126</v>
      </c>
      <c r="H12" s="72" t="s">
        <v>215</v>
      </c>
      <c r="J12" s="72">
        <v>0</v>
      </c>
      <c r="M12" s="123"/>
      <c r="N12" s="123"/>
    </row>
    <row r="13" spans="1:15" ht="21.75" customHeight="1" x14ac:dyDescent="0.2">
      <c r="A13" s="147"/>
      <c r="B13" s="147"/>
      <c r="D13" s="9"/>
      <c r="F13" s="73">
        <f>SUM(F8:F12)</f>
        <v>1933687068177</v>
      </c>
      <c r="H13" s="122">
        <f>SUM(H8:H12)</f>
        <v>100</v>
      </c>
      <c r="J13" s="122">
        <f>SUM(J8:J12)</f>
        <v>10.419999999999998</v>
      </c>
      <c r="N13" s="123"/>
    </row>
  </sheetData>
  <sheetProtection algorithmName="SHA-512" hashValue="OGWKJZXWUInE9vmbj7/nikQUmt+WMb4qn0WMvV7VuyINYJtoOib+Ol0K5d6NWIIZNBHxT7ZDfFczOZPuLyzPFg==" saltValue="RQUdATKzThJ7tA3sVyk++A==" spinCount="100000" sheet="1" objects="1" scenarios="1" selectLockedCells="1" autoFilter="0" selectUnlockedCells="1"/>
  <mergeCells count="11">
    <mergeCell ref="A1:J1"/>
    <mergeCell ref="A2:J2"/>
    <mergeCell ref="A3:J3"/>
    <mergeCell ref="A7:B7"/>
    <mergeCell ref="A13:B13"/>
    <mergeCell ref="C5:J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W22"/>
  <sheetViews>
    <sheetView rightToLeft="1" view="pageBreakPreview" zoomScale="95" zoomScaleNormal="100" zoomScaleSheetLayoutView="95" workbookViewId="0">
      <selection activeCell="W21" sqref="W21"/>
    </sheetView>
  </sheetViews>
  <sheetFormatPr defaultRowHeight="12.75" x14ac:dyDescent="0.2"/>
  <cols>
    <col min="1" max="1" width="5.140625" customWidth="1"/>
    <col min="2" max="2" width="21.5703125" customWidth="1"/>
    <col min="3" max="3" width="1.28515625" customWidth="1"/>
    <col min="4" max="4" width="14" bestFit="1" customWidth="1"/>
    <col min="5" max="5" width="1.28515625" customWidth="1"/>
    <col min="6" max="6" width="16.140625" bestFit="1" customWidth="1"/>
    <col min="7" max="7" width="1.28515625" customWidth="1"/>
    <col min="8" max="8" width="12.28515625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5.28515625" bestFit="1" customWidth="1"/>
    <col min="15" max="15" width="0.85546875" customWidth="1"/>
    <col min="16" max="16" width="1.28515625" customWidth="1"/>
    <col min="17" max="17" width="14.42578125" bestFit="1" customWidth="1"/>
    <col min="18" max="18" width="1.28515625" customWidth="1"/>
    <col min="19" max="19" width="15.140625" bestFit="1" customWidth="1"/>
    <col min="20" max="20" width="1.28515625" customWidth="1"/>
    <col min="21" max="21" width="15.140625" bestFit="1" customWidth="1"/>
    <col min="22" max="22" width="1.28515625" customWidth="1"/>
    <col min="23" max="23" width="11.5703125" customWidth="1"/>
    <col min="24" max="24" width="0.28515625" customWidth="1"/>
  </cols>
  <sheetData>
    <row r="1" spans="1:23" ht="29.1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</row>
    <row r="2" spans="1:23" ht="21.75" customHeight="1" x14ac:dyDescent="0.2">
      <c r="A2" s="186" t="s">
        <v>143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spans="1:23" ht="21.75" customHeight="1" x14ac:dyDescent="0.2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1:23" ht="14.45" customHeight="1" x14ac:dyDescent="0.2"/>
    <row r="5" spans="1:23" ht="18.75" customHeight="1" x14ac:dyDescent="0.2">
      <c r="A5" s="29" t="s">
        <v>160</v>
      </c>
      <c r="B5" s="195" t="s">
        <v>161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</row>
    <row r="6" spans="1:23" ht="14.45" customHeight="1" x14ac:dyDescent="0.2">
      <c r="D6" s="187" t="s">
        <v>162</v>
      </c>
      <c r="E6" s="187"/>
      <c r="F6" s="187"/>
      <c r="G6" s="187"/>
      <c r="H6" s="187"/>
      <c r="I6" s="187"/>
      <c r="J6" s="187"/>
      <c r="K6" s="187"/>
      <c r="L6" s="187"/>
      <c r="N6" s="187" t="s">
        <v>163</v>
      </c>
      <c r="O6" s="187"/>
      <c r="P6" s="187"/>
      <c r="Q6" s="187"/>
      <c r="R6" s="187"/>
      <c r="S6" s="187"/>
      <c r="T6" s="187"/>
      <c r="U6" s="187"/>
      <c r="V6" s="187"/>
      <c r="W6" s="187"/>
    </row>
    <row r="7" spans="1:23" ht="14.45" customHeight="1" x14ac:dyDescent="0.2">
      <c r="A7" s="147" t="s">
        <v>164</v>
      </c>
      <c r="B7" s="147"/>
      <c r="D7" s="182" t="s">
        <v>165</v>
      </c>
      <c r="E7" s="2"/>
      <c r="F7" s="182" t="s">
        <v>166</v>
      </c>
      <c r="G7" s="2"/>
      <c r="H7" s="182" t="s">
        <v>167</v>
      </c>
      <c r="I7" s="2"/>
      <c r="J7" s="176" t="s">
        <v>30</v>
      </c>
      <c r="K7" s="176"/>
      <c r="L7" s="176"/>
      <c r="N7" s="182" t="s">
        <v>165</v>
      </c>
      <c r="O7" s="2"/>
      <c r="P7" s="182" t="s">
        <v>166</v>
      </c>
      <c r="Q7" s="182"/>
      <c r="R7" s="2"/>
      <c r="S7" s="182" t="s">
        <v>167</v>
      </c>
      <c r="T7" s="2"/>
      <c r="U7" s="176" t="s">
        <v>30</v>
      </c>
      <c r="V7" s="176"/>
      <c r="W7" s="176"/>
    </row>
    <row r="8" spans="1:23" ht="36" customHeight="1" x14ac:dyDescent="0.2">
      <c r="A8" s="148"/>
      <c r="B8" s="148"/>
      <c r="D8" s="183"/>
      <c r="F8" s="183"/>
      <c r="H8" s="183"/>
      <c r="J8" s="41" t="s">
        <v>140</v>
      </c>
      <c r="K8" s="2"/>
      <c r="L8" s="74" t="s">
        <v>148</v>
      </c>
      <c r="N8" s="183"/>
      <c r="P8" s="183"/>
      <c r="Q8" s="183"/>
      <c r="S8" s="183"/>
      <c r="U8" s="41" t="s">
        <v>140</v>
      </c>
      <c r="V8" s="2"/>
      <c r="W8" s="74" t="s">
        <v>148</v>
      </c>
    </row>
    <row r="9" spans="1:23" ht="21.75" customHeight="1" x14ac:dyDescent="0.2">
      <c r="A9" s="166" t="s">
        <v>168</v>
      </c>
      <c r="B9" s="166"/>
      <c r="D9" s="32">
        <v>0</v>
      </c>
      <c r="F9" s="35">
        <v>0</v>
      </c>
      <c r="H9" s="32" t="s">
        <v>215</v>
      </c>
      <c r="J9" s="31" t="s">
        <v>215</v>
      </c>
      <c r="L9" s="4" t="s">
        <v>215</v>
      </c>
      <c r="N9" s="32">
        <v>11200000000</v>
      </c>
      <c r="P9" s="174">
        <v>0</v>
      </c>
      <c r="Q9" s="174"/>
      <c r="S9" s="31">
        <v>3997793834</v>
      </c>
      <c r="U9" s="31">
        <v>15197793834</v>
      </c>
      <c r="W9" s="50">
        <v>0.79</v>
      </c>
    </row>
    <row r="10" spans="1:23" ht="21.75" customHeight="1" x14ac:dyDescent="0.2">
      <c r="A10" s="163" t="s">
        <v>28</v>
      </c>
      <c r="B10" s="163"/>
      <c r="D10" s="32">
        <v>3298709330</v>
      </c>
      <c r="F10" s="35">
        <v>-12382085610</v>
      </c>
      <c r="H10" s="32" t="s">
        <v>215</v>
      </c>
      <c r="J10" s="35">
        <v>-9083376280</v>
      </c>
      <c r="L10" s="50">
        <v>-2.2999999999999998</v>
      </c>
      <c r="N10" s="32">
        <v>3298709330</v>
      </c>
      <c r="P10" s="197">
        <v>8606564444</v>
      </c>
      <c r="Q10" s="197"/>
      <c r="S10" s="32">
        <v>7835585519</v>
      </c>
      <c r="U10" s="32">
        <v>19740859293</v>
      </c>
      <c r="W10" s="50">
        <v>1.02</v>
      </c>
    </row>
    <row r="11" spans="1:23" ht="21.75" customHeight="1" x14ac:dyDescent="0.2">
      <c r="A11" s="163" t="s">
        <v>26</v>
      </c>
      <c r="B11" s="163"/>
      <c r="D11" s="32">
        <v>0</v>
      </c>
      <c r="F11" s="35">
        <v>-42256747</v>
      </c>
      <c r="H11" s="32" t="s">
        <v>215</v>
      </c>
      <c r="J11" s="35">
        <v>-42256747</v>
      </c>
      <c r="L11" s="50">
        <v>-0.01</v>
      </c>
      <c r="N11" s="32" t="s">
        <v>215</v>
      </c>
      <c r="P11" s="197">
        <v>-30423400</v>
      </c>
      <c r="Q11" s="197"/>
      <c r="S11" s="35">
        <v>-7272</v>
      </c>
      <c r="U11" s="35">
        <v>-30430672</v>
      </c>
      <c r="W11" s="50">
        <v>0</v>
      </c>
    </row>
    <row r="12" spans="1:23" ht="21.75" customHeight="1" x14ac:dyDescent="0.2">
      <c r="A12" s="163" t="s">
        <v>20</v>
      </c>
      <c r="B12" s="163"/>
      <c r="D12" s="32">
        <v>0</v>
      </c>
      <c r="F12" s="35">
        <v>1093455000</v>
      </c>
      <c r="H12" s="32" t="s">
        <v>215</v>
      </c>
      <c r="J12" s="35">
        <v>1093455000</v>
      </c>
      <c r="L12" s="50">
        <v>0.28000000000000003</v>
      </c>
      <c r="N12" s="32">
        <v>1640000000</v>
      </c>
      <c r="P12" s="197">
        <v>4811202000</v>
      </c>
      <c r="Q12" s="197"/>
      <c r="S12" s="32" t="s">
        <v>215</v>
      </c>
      <c r="U12" s="35">
        <v>6451202000</v>
      </c>
      <c r="W12" s="50">
        <v>0.33</v>
      </c>
    </row>
    <row r="13" spans="1:23" ht="21.75" customHeight="1" x14ac:dyDescent="0.2">
      <c r="A13" s="163" t="s">
        <v>25</v>
      </c>
      <c r="B13" s="163"/>
      <c r="D13" s="32">
        <v>0</v>
      </c>
      <c r="F13" s="35">
        <v>8672688</v>
      </c>
      <c r="H13" s="32" t="s">
        <v>215</v>
      </c>
      <c r="J13" s="35">
        <v>8672688</v>
      </c>
      <c r="L13" s="50">
        <v>0</v>
      </c>
      <c r="N13" s="32">
        <v>654345000</v>
      </c>
      <c r="P13" s="197">
        <v>32522582</v>
      </c>
      <c r="Q13" s="197"/>
      <c r="S13" s="32" t="s">
        <v>215</v>
      </c>
      <c r="U13" s="35">
        <v>686867582</v>
      </c>
      <c r="W13" s="50">
        <v>0.04</v>
      </c>
    </row>
    <row r="14" spans="1:23" ht="21.75" customHeight="1" x14ac:dyDescent="0.2">
      <c r="A14" s="163" t="s">
        <v>27</v>
      </c>
      <c r="B14" s="163"/>
      <c r="D14" s="32">
        <v>0</v>
      </c>
      <c r="F14" s="35">
        <v>864823500</v>
      </c>
      <c r="H14" s="32" t="s">
        <v>215</v>
      </c>
      <c r="J14" s="35">
        <v>864823500</v>
      </c>
      <c r="L14" s="50">
        <v>0.22</v>
      </c>
      <c r="N14" s="32">
        <v>3342010772</v>
      </c>
      <c r="P14" s="197">
        <v>1535807250</v>
      </c>
      <c r="Q14" s="197"/>
      <c r="S14" s="32" t="s">
        <v>215</v>
      </c>
      <c r="U14" s="35">
        <v>4877818022</v>
      </c>
      <c r="W14" s="50">
        <v>0.25</v>
      </c>
    </row>
    <row r="15" spans="1:23" ht="21.75" customHeight="1" x14ac:dyDescent="0.2">
      <c r="A15" s="163" t="s">
        <v>19</v>
      </c>
      <c r="B15" s="163"/>
      <c r="D15" s="32">
        <v>0</v>
      </c>
      <c r="F15" s="35">
        <v>-9707121911</v>
      </c>
      <c r="H15" s="32" t="s">
        <v>215</v>
      </c>
      <c r="J15" s="75">
        <v>-9707121911</v>
      </c>
      <c r="L15" s="76">
        <v>-2.46</v>
      </c>
      <c r="N15" s="32">
        <v>741926391</v>
      </c>
      <c r="P15" s="197">
        <v>-26589073061</v>
      </c>
      <c r="Q15" s="197"/>
      <c r="S15" s="32" t="s">
        <v>215</v>
      </c>
      <c r="U15" s="35">
        <v>-25847146670</v>
      </c>
      <c r="W15" s="50">
        <v>-1.34</v>
      </c>
    </row>
    <row r="16" spans="1:23" ht="21.75" customHeight="1" x14ac:dyDescent="0.2">
      <c r="A16" s="164" t="s">
        <v>21</v>
      </c>
      <c r="B16" s="164"/>
      <c r="D16" s="32">
        <v>0</v>
      </c>
      <c r="F16" s="35">
        <v>1386699750</v>
      </c>
      <c r="H16" s="32" t="s">
        <v>215</v>
      </c>
      <c r="J16" s="34">
        <v>1386699750</v>
      </c>
      <c r="L16" s="50">
        <v>0.35</v>
      </c>
      <c r="N16" s="32">
        <v>7907241173</v>
      </c>
      <c r="P16" s="174">
        <v>-99405000</v>
      </c>
      <c r="Q16" s="174"/>
      <c r="S16" s="32" t="s">
        <v>215</v>
      </c>
      <c r="U16" s="75">
        <v>7807836173</v>
      </c>
      <c r="W16" s="50">
        <v>0.4</v>
      </c>
    </row>
    <row r="17" spans="1:23" ht="21.75" customHeight="1" x14ac:dyDescent="0.2">
      <c r="A17" s="163" t="s">
        <v>24</v>
      </c>
      <c r="B17" s="163"/>
      <c r="D17" s="32">
        <v>0</v>
      </c>
      <c r="F17" s="35">
        <v>1211996773</v>
      </c>
      <c r="H17" s="32" t="s">
        <v>215</v>
      </c>
      <c r="J17" s="35">
        <v>1211996773</v>
      </c>
      <c r="L17" s="50">
        <v>0.31</v>
      </c>
      <c r="N17" s="32" t="s">
        <v>215</v>
      </c>
      <c r="P17" s="197">
        <v>6889244813</v>
      </c>
      <c r="Q17" s="197"/>
      <c r="S17" s="32" t="s">
        <v>215</v>
      </c>
      <c r="U17" s="34">
        <v>6889244813</v>
      </c>
      <c r="W17" s="50">
        <v>0.36</v>
      </c>
    </row>
    <row r="18" spans="1:23" ht="21.75" customHeight="1" x14ac:dyDescent="0.2">
      <c r="A18" s="163" t="s">
        <v>29</v>
      </c>
      <c r="B18" s="163"/>
      <c r="D18" s="32">
        <v>0</v>
      </c>
      <c r="F18" s="35">
        <v>1363929962</v>
      </c>
      <c r="H18" s="32" t="s">
        <v>215</v>
      </c>
      <c r="J18" s="35">
        <v>1363929962</v>
      </c>
      <c r="L18" s="50">
        <v>0.35</v>
      </c>
      <c r="N18" s="32" t="s">
        <v>215</v>
      </c>
      <c r="P18" s="197">
        <v>7651636049</v>
      </c>
      <c r="Q18" s="197"/>
      <c r="S18" s="32" t="s">
        <v>215</v>
      </c>
      <c r="U18" s="32">
        <v>7651636049</v>
      </c>
      <c r="W18" s="50">
        <v>0.4</v>
      </c>
    </row>
    <row r="19" spans="1:23" ht="21.75" customHeight="1" x14ac:dyDescent="0.2">
      <c r="A19" s="163" t="s">
        <v>23</v>
      </c>
      <c r="B19" s="163"/>
      <c r="D19" s="32">
        <v>0</v>
      </c>
      <c r="F19" s="35">
        <v>120180979</v>
      </c>
      <c r="H19" s="32" t="s">
        <v>215</v>
      </c>
      <c r="J19" s="35">
        <v>120180979</v>
      </c>
      <c r="L19" s="50">
        <v>0.03</v>
      </c>
      <c r="N19" s="32" t="s">
        <v>215</v>
      </c>
      <c r="P19" s="197">
        <v>1982986153</v>
      </c>
      <c r="Q19" s="197"/>
      <c r="S19" s="32" t="s">
        <v>215</v>
      </c>
      <c r="U19" s="35">
        <v>1982986153</v>
      </c>
      <c r="W19" s="50">
        <v>0.1</v>
      </c>
    </row>
    <row r="20" spans="1:23" ht="21.75" customHeight="1" x14ac:dyDescent="0.2">
      <c r="A20" s="163" t="s">
        <v>22</v>
      </c>
      <c r="B20" s="163"/>
      <c r="D20" s="32">
        <v>0</v>
      </c>
      <c r="F20" s="35">
        <v>382237077</v>
      </c>
      <c r="H20" s="32" t="s">
        <v>215</v>
      </c>
      <c r="J20" s="35">
        <v>382237077</v>
      </c>
      <c r="L20" s="50">
        <v>0.1</v>
      </c>
      <c r="N20" s="32" t="s">
        <v>215</v>
      </c>
      <c r="P20" s="197">
        <v>4183372446</v>
      </c>
      <c r="Q20" s="197"/>
      <c r="S20" s="32" t="s">
        <v>215</v>
      </c>
      <c r="U20" s="34">
        <v>4183372446</v>
      </c>
      <c r="W20" s="50">
        <v>0.22</v>
      </c>
    </row>
    <row r="21" spans="1:23" ht="21.75" customHeight="1" thickBot="1" x14ac:dyDescent="0.25">
      <c r="A21" s="147"/>
      <c r="B21" s="147"/>
      <c r="D21" s="38">
        <v>3298709330</v>
      </c>
      <c r="F21" s="77">
        <v>-15699468539</v>
      </c>
      <c r="H21" s="19" t="s">
        <v>215</v>
      </c>
      <c r="J21" s="77">
        <v>-12400759209</v>
      </c>
      <c r="L21" s="124">
        <v>-3.13</v>
      </c>
      <c r="N21" s="38">
        <v>28784232666</v>
      </c>
      <c r="Q21" s="38">
        <v>8974434276</v>
      </c>
      <c r="S21" s="38">
        <v>11833372081</v>
      </c>
      <c r="U21" s="38">
        <v>49592039023</v>
      </c>
      <c r="W21" s="53">
        <v>2.57</v>
      </c>
    </row>
    <row r="22" spans="1:23" ht="13.5" thickTop="1" x14ac:dyDescent="0.2"/>
  </sheetData>
  <sheetProtection algorithmName="SHA-512" hashValue="VxdqoU2YEEOXh6DvOJYv5+4dLBhaBPA1WtOmO2yipeCVc51/tacp++iq7gxUF43wHFNNcfR45j4CVVX7+6yrrA==" saltValue="Gem8IhoS09Uuv53XcM3p3Q==" spinCount="100000" sheet="1" objects="1" scenarios="1" selectLockedCells="1" autoFilter="0" selectUnlockedCells="1"/>
  <mergeCells count="40">
    <mergeCell ref="A1:W1"/>
    <mergeCell ref="A2:W2"/>
    <mergeCell ref="A3:W3"/>
    <mergeCell ref="B5:W5"/>
    <mergeCell ref="D6:L6"/>
    <mergeCell ref="N6:W6"/>
    <mergeCell ref="J7:L7"/>
    <mergeCell ref="U7:W7"/>
    <mergeCell ref="A9:B9"/>
    <mergeCell ref="P9:Q9"/>
    <mergeCell ref="A7:B8"/>
    <mergeCell ref="D7:D8"/>
    <mergeCell ref="F7:F8"/>
    <mergeCell ref="H7:H8"/>
    <mergeCell ref="P7:Q8"/>
    <mergeCell ref="N7:N8"/>
    <mergeCell ref="S7:S8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Sahar Sadat Akhlaghi</cp:lastModifiedBy>
  <dcterms:created xsi:type="dcterms:W3CDTF">2024-08-28T07:34:27Z</dcterms:created>
  <dcterms:modified xsi:type="dcterms:W3CDTF">2024-08-31T13:19:53Z</dcterms:modified>
</cp:coreProperties>
</file>